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Документы\2020 год\Бюджет 2020\2020 год_Исполнение бюджета\Заключение\"/>
    </mc:Choice>
  </mc:AlternateContent>
  <bookViews>
    <workbookView xWindow="0" yWindow="0" windowWidth="19200" windowHeight="7068" tabRatio="925" firstSheet="12" activeTab="17"/>
  </bookViews>
  <sheets>
    <sheet name="1_Конс." sheetId="1" r:id="rId1"/>
    <sheet name="2_Конс_20 к 19" sheetId="6" r:id="rId2"/>
    <sheet name="3_Бюджеты МО" sheetId="2" r:id="rId3"/>
    <sheet name="4_Доходы МО" sheetId="4" r:id="rId4"/>
    <sheet name="5_Межбюд." sheetId="5" r:id="rId5"/>
    <sheet name="6_Дебитор_МО" sheetId="14" r:id="rId6"/>
    <sheet name="7_Кредит_МО" sheetId="11" r:id="rId7"/>
    <sheet name="8_Менее 90 %" sheetId="21" r:id="rId8"/>
    <sheet name="9_Исполнение 0%" sheetId="22" r:id="rId9"/>
    <sheet name="10_Изменение расходов" sheetId="23" r:id="rId10"/>
    <sheet name="11_Госорганы" sheetId="24" r:id="rId11"/>
    <sheet name="12_Программы АО" sheetId="28" r:id="rId12"/>
    <sheet name="13_Невыполнение ГП" sheetId="27" r:id="rId13"/>
    <sheet name="14_НП РФ" sheetId="25" r:id="rId14"/>
    <sheet name="15_ФХД БУ И АУ_конс." sheetId="7" r:id="rId15"/>
    <sheet name="16_ФХД_БУ И АУ_обл" sheetId="8" r:id="rId16"/>
    <sheet name="17_Долги_БУ и АУ_конс." sheetId="9" r:id="rId17"/>
    <sheet name="18_Долги_БУ И АУ_обл" sheetId="10" r:id="rId18"/>
    <sheet name="Черн_кон.рас." sheetId="12" state="hidden" r:id="rId19"/>
    <sheet name="Черн." sheetId="3" state="hidden" r:id="rId20"/>
    <sheet name="Кредит.Дебит" sheetId="15" state="hidden" r:id="rId21"/>
    <sheet name="Соотн_Деб.и Кред" sheetId="20" state="hidden" r:id="rId22"/>
  </sheets>
  <definedNames>
    <definedName name="_xlnm._FilterDatabase" localSheetId="0" hidden="1">'1_Конс.'!$A$8:$AM$8</definedName>
    <definedName name="_xlnm._FilterDatabase" localSheetId="14" hidden="1">'15_ФХД БУ И АУ_конс.'!$A$9:$AE$38</definedName>
    <definedName name="_xlnm._FilterDatabase" localSheetId="15" hidden="1">'16_ФХД_БУ И АУ_обл'!$A$10:$AE$27</definedName>
    <definedName name="_xlnm._FilterDatabase" localSheetId="1" hidden="1">'2_Конс_20 к 19'!$A$8:$M$199</definedName>
    <definedName name="_xlnm._FilterDatabase" localSheetId="2" hidden="1">'3_Бюджеты МО'!$A$8:$S$8</definedName>
    <definedName name="_xlnm._FilterDatabase" localSheetId="3" hidden="1">'4_Доходы МО'!$A$8:$S$35</definedName>
    <definedName name="_xlnm._FilterDatabase" localSheetId="4" hidden="1">'5_Межбюд.'!$A$9:$P$36</definedName>
    <definedName name="_xlnm._FilterDatabase" localSheetId="5" hidden="1">'6_Дебитор_МО'!$A$7:$J$36</definedName>
    <definedName name="_xlnm._FilterDatabase" localSheetId="6" hidden="1">'7_Кредит_МО'!$A$7:$J$37</definedName>
    <definedName name="_xlnm._FilterDatabase" localSheetId="7" hidden="1">'8_Менее 90 %'!$A$7:$K$166</definedName>
    <definedName name="_xlnm._FilterDatabase" localSheetId="21" hidden="1">'Соотн_Деб.и Кред'!$A$6:$V$35</definedName>
    <definedName name="_xlnm._FilterDatabase" localSheetId="19" hidden="1">Черн.!$A$7:$KA$64</definedName>
    <definedName name="_xlnm._FilterDatabase" localSheetId="18" hidden="1">Черн_кон.рас.!$A$7:$AE$7</definedName>
    <definedName name="_xlnm.Print_Titles" localSheetId="9">'10_Изменение расходов'!$7:$8</definedName>
    <definedName name="_xlnm.Print_Titles" localSheetId="10">'11_Госорганы'!$5:$7</definedName>
    <definedName name="_xlnm.Print_Titles" localSheetId="11">'12_Программы АО'!$5:$7</definedName>
    <definedName name="_xlnm.Print_Titles" localSheetId="12">'13_Невыполнение ГП'!$5:$6</definedName>
    <definedName name="_xlnm.Print_Titles" localSheetId="13">'14_НП РФ'!$6:$8</definedName>
    <definedName name="_xlnm.Print_Titles" localSheetId="14">'15_ФХД БУ И АУ_конс.'!$A:$A</definedName>
    <definedName name="_xlnm.Print_Titles" localSheetId="15">'16_ФХД_БУ И АУ_обл'!$A:$A</definedName>
    <definedName name="_xlnm.Print_Titles" localSheetId="16">'17_Долги_БУ и АУ_конс.'!$A:$A</definedName>
    <definedName name="_xlnm.Print_Titles" localSheetId="17">'18_Долги_БУ И АУ_обл'!$A:$A</definedName>
    <definedName name="_xlnm.Print_Titles" localSheetId="1">'2_Конс_20 к 19'!$4:$8</definedName>
    <definedName name="_xlnm.Print_Titles" localSheetId="7">'8_Менее 90 %'!$6:$7</definedName>
    <definedName name="_xlnm.Print_Titles" localSheetId="8">'9_Исполнение 0%'!$5:$6</definedName>
    <definedName name="_xlnm.Print_Area" localSheetId="0">'1_Конс.'!$A$1:$AG$180</definedName>
    <definedName name="_xlnm.Print_Area" localSheetId="9">'10_Изменение расходов'!$A$1:$F$156</definedName>
    <definedName name="_xlnm.Print_Area" localSheetId="11">'12_Программы АО'!$A$1:$T$131</definedName>
    <definedName name="_xlnm.Print_Area" localSheetId="12">'13_Невыполнение ГП'!$A$1:$L$308</definedName>
    <definedName name="_xlnm.Print_Area" localSheetId="14">'15_ФХД БУ И АУ_конс.'!$A$1:$AE$38</definedName>
    <definedName name="_xlnm.Print_Area" localSheetId="15">'16_ФХД_БУ И АУ_обл'!$A$1:$AE$27</definedName>
    <definedName name="_xlnm.Print_Area" localSheetId="16">'17_Долги_БУ и АУ_конс.'!$A$1:$Y$39</definedName>
    <definedName name="_xlnm.Print_Area" localSheetId="17">'18_Долги_БУ И АУ_обл'!$A$1:$Y$26</definedName>
    <definedName name="_xlnm.Print_Area" localSheetId="1">'2_Конс_20 к 19'!$A$1:$M$199</definedName>
    <definedName name="_xlnm.Print_Area" localSheetId="2">'3_Бюджеты МО'!$A$1:$O$35</definedName>
    <definedName name="_xlnm.Print_Area" localSheetId="3">'4_Доходы МО'!$A$1:$S$35</definedName>
    <definedName name="_xlnm.Print_Area" localSheetId="4">'5_Межбюд.'!$A$1:$P$36</definedName>
    <definedName name="_xlnm.Print_Area" localSheetId="5">'6_Дебитор_МО'!$A$1:$J$36</definedName>
    <definedName name="_xlnm.Print_Area" localSheetId="6">'7_Кредит_МО'!$A$1:$J$36</definedName>
    <definedName name="_xlnm.Print_Area" localSheetId="7">'8_Менее 90 %'!$A$1:$H$164</definedName>
    <definedName name="_xlnm.Print_Area" localSheetId="18">Черн_кон.рас.!#REF!</definedName>
  </definedNames>
  <calcPr calcId="152511"/>
</workbook>
</file>

<file path=xl/calcChain.xml><?xml version="1.0" encoding="utf-8"?>
<calcChain xmlns="http://schemas.openxmlformats.org/spreadsheetml/2006/main">
  <c r="K139" i="28" l="1"/>
  <c r="J139" i="28"/>
  <c r="I139" i="28"/>
  <c r="S130" i="28"/>
  <c r="R130" i="28"/>
  <c r="M130" i="28"/>
  <c r="L130" i="28"/>
  <c r="G130" i="28"/>
  <c r="F130" i="28"/>
  <c r="R129" i="28"/>
  <c r="L129" i="28"/>
  <c r="F129" i="28"/>
  <c r="F128" i="28"/>
  <c r="S127" i="28"/>
  <c r="R127" i="28"/>
  <c r="M127" i="28"/>
  <c r="L127" i="28"/>
  <c r="G127" i="28"/>
  <c r="F127" i="28"/>
  <c r="S126" i="28"/>
  <c r="R126" i="28"/>
  <c r="M126" i="28"/>
  <c r="I126" i="28"/>
  <c r="L126" i="28" s="1"/>
  <c r="G126" i="28"/>
  <c r="F126" i="28"/>
  <c r="S125" i="28"/>
  <c r="S123" i="28" s="1"/>
  <c r="R125" i="28"/>
  <c r="R123" i="28" s="1"/>
  <c r="Q125" i="28"/>
  <c r="P125" i="28"/>
  <c r="P123" i="28" s="1"/>
  <c r="O125" i="28"/>
  <c r="O123" i="28" s="1"/>
  <c r="M125" i="28"/>
  <c r="M123" i="28" s="1"/>
  <c r="K125" i="28"/>
  <c r="L125" i="28" s="1"/>
  <c r="L123" i="28" s="1"/>
  <c r="J125" i="28"/>
  <c r="J123" i="28" s="1"/>
  <c r="I125" i="28"/>
  <c r="I123" i="28" s="1"/>
  <c r="E125" i="28"/>
  <c r="G125" i="28" s="1"/>
  <c r="D125" i="28"/>
  <c r="D123" i="28" s="1"/>
  <c r="D114" i="28" s="1"/>
  <c r="C125" i="28"/>
  <c r="Q123" i="28"/>
  <c r="C123" i="28"/>
  <c r="C114" i="28" s="1"/>
  <c r="S121" i="28"/>
  <c r="R121" i="28"/>
  <c r="M121" i="28"/>
  <c r="L121" i="28"/>
  <c r="G121" i="28"/>
  <c r="F121" i="28"/>
  <c r="S120" i="28"/>
  <c r="R120" i="28"/>
  <c r="M120" i="28"/>
  <c r="L120" i="28"/>
  <c r="G120" i="28"/>
  <c r="F120" i="28"/>
  <c r="Q119" i="28"/>
  <c r="S119" i="28" s="1"/>
  <c r="P119" i="28"/>
  <c r="P117" i="28" s="1"/>
  <c r="O119" i="28"/>
  <c r="K119" i="28"/>
  <c r="J119" i="28"/>
  <c r="I119" i="28"/>
  <c r="G119" i="28"/>
  <c r="F119" i="28"/>
  <c r="E119" i="28"/>
  <c r="D119" i="28"/>
  <c r="C119" i="28"/>
  <c r="C117" i="28" s="1"/>
  <c r="O117" i="28"/>
  <c r="J117" i="28"/>
  <c r="I117" i="28"/>
  <c r="E117" i="28"/>
  <c r="D117" i="28"/>
  <c r="S115" i="28"/>
  <c r="R115" i="28"/>
  <c r="Q114" i="28"/>
  <c r="P114" i="28"/>
  <c r="O114" i="28"/>
  <c r="S113" i="28"/>
  <c r="R113" i="28"/>
  <c r="S112" i="28"/>
  <c r="R112" i="28"/>
  <c r="S111" i="28"/>
  <c r="R111" i="28"/>
  <c r="S110" i="28"/>
  <c r="R110" i="28"/>
  <c r="S109" i="28"/>
  <c r="R109" i="28"/>
  <c r="Q109" i="28"/>
  <c r="P109" i="28"/>
  <c r="O109" i="28"/>
  <c r="G109" i="28"/>
  <c r="E109" i="28"/>
  <c r="D109" i="28"/>
  <c r="C109" i="28"/>
  <c r="S108" i="28"/>
  <c r="R108" i="28"/>
  <c r="S107" i="28"/>
  <c r="R107" i="28"/>
  <c r="S106" i="28"/>
  <c r="R106" i="28"/>
  <c r="S105" i="28"/>
  <c r="R105" i="28"/>
  <c r="S104" i="28"/>
  <c r="R104" i="28"/>
  <c r="S103" i="28"/>
  <c r="R103" i="28"/>
  <c r="S102" i="28"/>
  <c r="R102" i="28"/>
  <c r="S101" i="28"/>
  <c r="R101" i="28"/>
  <c r="Q100" i="28"/>
  <c r="S100" i="28" s="1"/>
  <c r="P100" i="28"/>
  <c r="O100" i="28"/>
  <c r="E100" i="28"/>
  <c r="D100" i="28"/>
  <c r="C100" i="28"/>
  <c r="S99" i="28"/>
  <c r="R99" i="28"/>
  <c r="M99" i="28"/>
  <c r="I99" i="28"/>
  <c r="L99" i="28" s="1"/>
  <c r="G99" i="28"/>
  <c r="F99" i="28"/>
  <c r="S98" i="28"/>
  <c r="R98" i="28"/>
  <c r="M98" i="28"/>
  <c r="L98" i="28"/>
  <c r="G98" i="28"/>
  <c r="F98" i="28"/>
  <c r="M97" i="28"/>
  <c r="L97" i="28"/>
  <c r="I97" i="28"/>
  <c r="G97" i="28"/>
  <c r="F97" i="28"/>
  <c r="Q96" i="28"/>
  <c r="P96" i="28"/>
  <c r="O96" i="28"/>
  <c r="K96" i="28"/>
  <c r="J96" i="28"/>
  <c r="G96" i="28"/>
  <c r="F96" i="28"/>
  <c r="E96" i="28"/>
  <c r="D96" i="28"/>
  <c r="C96" i="28"/>
  <c r="S95" i="28"/>
  <c r="R95" i="28"/>
  <c r="M95" i="28"/>
  <c r="L95" i="28"/>
  <c r="G95" i="28"/>
  <c r="F95" i="28"/>
  <c r="M94" i="28"/>
  <c r="L94" i="28"/>
  <c r="S93" i="28"/>
  <c r="Q93" i="28"/>
  <c r="P93" i="28"/>
  <c r="O93" i="28"/>
  <c r="K93" i="28"/>
  <c r="J93" i="28"/>
  <c r="I93" i="28"/>
  <c r="E93" i="28"/>
  <c r="D93" i="28"/>
  <c r="C93" i="28"/>
  <c r="S92" i="28"/>
  <c r="R92" i="28"/>
  <c r="M92" i="28"/>
  <c r="L92" i="28"/>
  <c r="G92" i="28"/>
  <c r="F92" i="28"/>
  <c r="S91" i="28"/>
  <c r="R91" i="28"/>
  <c r="M91" i="28"/>
  <c r="L91" i="28"/>
  <c r="I91" i="28"/>
  <c r="G91" i="28"/>
  <c r="F91" i="28"/>
  <c r="S90" i="28"/>
  <c r="Q90" i="28"/>
  <c r="P90" i="28"/>
  <c r="O90" i="28"/>
  <c r="K90" i="28"/>
  <c r="M90" i="28" s="1"/>
  <c r="J90" i="28"/>
  <c r="I90" i="28"/>
  <c r="E90" i="28"/>
  <c r="D90" i="28"/>
  <c r="C90" i="28"/>
  <c r="S89" i="28"/>
  <c r="R89" i="28"/>
  <c r="M89" i="28"/>
  <c r="L89" i="28"/>
  <c r="G89" i="28"/>
  <c r="F89" i="28"/>
  <c r="S88" i="28"/>
  <c r="R88" i="28"/>
  <c r="M88" i="28"/>
  <c r="L88" i="28"/>
  <c r="G88" i="28"/>
  <c r="F88" i="28"/>
  <c r="S87" i="28"/>
  <c r="R87" i="28"/>
  <c r="G87" i="28"/>
  <c r="F87" i="28"/>
  <c r="S86" i="28"/>
  <c r="R86" i="28"/>
  <c r="Q86" i="28"/>
  <c r="P86" i="28"/>
  <c r="O86" i="28"/>
  <c r="M86" i="28"/>
  <c r="K86" i="28"/>
  <c r="L86" i="28" s="1"/>
  <c r="J86" i="28"/>
  <c r="I86" i="28"/>
  <c r="E86" i="28"/>
  <c r="D86" i="28"/>
  <c r="C86" i="28"/>
  <c r="S85" i="28"/>
  <c r="R85" i="28"/>
  <c r="M85" i="28"/>
  <c r="I85" i="28"/>
  <c r="L85" i="28" s="1"/>
  <c r="G85" i="28"/>
  <c r="F85" i="28"/>
  <c r="G84" i="28"/>
  <c r="F84" i="28"/>
  <c r="G83" i="28"/>
  <c r="F83" i="28"/>
  <c r="S82" i="28"/>
  <c r="R82" i="28"/>
  <c r="M82" i="28"/>
  <c r="L82" i="28"/>
  <c r="G82" i="28"/>
  <c r="F82" i="28"/>
  <c r="S81" i="28"/>
  <c r="R81" i="28"/>
  <c r="Q81" i="28"/>
  <c r="P81" i="28"/>
  <c r="O81" i="28"/>
  <c r="M81" i="28"/>
  <c r="K81" i="28"/>
  <c r="J81" i="28"/>
  <c r="I81" i="28"/>
  <c r="L81" i="28" s="1"/>
  <c r="E81" i="28"/>
  <c r="D81" i="28"/>
  <c r="C81" i="28"/>
  <c r="S80" i="28"/>
  <c r="R80" i="28"/>
  <c r="S79" i="28"/>
  <c r="R79" i="28"/>
  <c r="S78" i="28"/>
  <c r="R78" i="28"/>
  <c r="S77" i="28"/>
  <c r="R77" i="28"/>
  <c r="S76" i="28"/>
  <c r="R76" i="28"/>
  <c r="S75" i="28"/>
  <c r="R75" i="28"/>
  <c r="S74" i="28"/>
  <c r="R74" i="28"/>
  <c r="S73" i="28"/>
  <c r="Q73" i="28"/>
  <c r="P73" i="28"/>
  <c r="O73" i="28"/>
  <c r="S72" i="28"/>
  <c r="R72" i="28"/>
  <c r="M72" i="28"/>
  <c r="L72" i="28"/>
  <c r="G72" i="28"/>
  <c r="F72" i="28"/>
  <c r="S71" i="28"/>
  <c r="R71" i="28"/>
  <c r="Q71" i="28"/>
  <c r="P71" i="28"/>
  <c r="O71" i="28"/>
  <c r="M71" i="28"/>
  <c r="K71" i="28"/>
  <c r="L71" i="28" s="1"/>
  <c r="J71" i="28"/>
  <c r="I71" i="28"/>
  <c r="E71" i="28"/>
  <c r="D71" i="28"/>
  <c r="C71" i="28"/>
  <c r="S70" i="28"/>
  <c r="R70" i="28"/>
  <c r="M70" i="28"/>
  <c r="L70" i="28"/>
  <c r="G70" i="28"/>
  <c r="F70" i="28"/>
  <c r="S69" i="28"/>
  <c r="Q69" i="28"/>
  <c r="P69" i="28"/>
  <c r="O69" i="28"/>
  <c r="K69" i="28"/>
  <c r="M69" i="28" s="1"/>
  <c r="J69" i="28"/>
  <c r="I69" i="28"/>
  <c r="E69" i="28"/>
  <c r="D69" i="28"/>
  <c r="C69" i="28"/>
  <c r="S68" i="28"/>
  <c r="R68" i="28"/>
  <c r="M68" i="28"/>
  <c r="I68" i="28"/>
  <c r="L68" i="28" s="1"/>
  <c r="G68" i="28"/>
  <c r="F68" i="28"/>
  <c r="Q67" i="28"/>
  <c r="P67" i="28"/>
  <c r="O67" i="28"/>
  <c r="M67" i="28"/>
  <c r="L67" i="28"/>
  <c r="K67" i="28"/>
  <c r="J67" i="28"/>
  <c r="I67" i="28"/>
  <c r="G67" i="28"/>
  <c r="E67" i="28"/>
  <c r="D67" i="28"/>
  <c r="C67" i="28"/>
  <c r="S66" i="28"/>
  <c r="R66" i="28"/>
  <c r="M66" i="28"/>
  <c r="L66" i="28"/>
  <c r="G66" i="28"/>
  <c r="F66" i="28"/>
  <c r="S65" i="28"/>
  <c r="R65" i="28"/>
  <c r="K65" i="28"/>
  <c r="M65" i="28" s="1"/>
  <c r="I65" i="28"/>
  <c r="I61" i="28" s="1"/>
  <c r="G65" i="28"/>
  <c r="F65" i="28"/>
  <c r="S64" i="28"/>
  <c r="R64" i="28"/>
  <c r="M64" i="28"/>
  <c r="L64" i="28"/>
  <c r="G64" i="28"/>
  <c r="F64" i="28"/>
  <c r="S63" i="28"/>
  <c r="R63" i="28"/>
  <c r="M63" i="28"/>
  <c r="L63" i="28"/>
  <c r="I63" i="28"/>
  <c r="G63" i="28"/>
  <c r="F63" i="28"/>
  <c r="S62" i="28"/>
  <c r="R62" i="28"/>
  <c r="M62" i="28"/>
  <c r="L62" i="28"/>
  <c r="G62" i="28"/>
  <c r="F62" i="28"/>
  <c r="Q61" i="28"/>
  <c r="P61" i="28"/>
  <c r="O61" i="28"/>
  <c r="J61" i="28"/>
  <c r="G61" i="28"/>
  <c r="E61" i="28"/>
  <c r="D61" i="28"/>
  <c r="C61" i="28"/>
  <c r="S60" i="28"/>
  <c r="R60" i="28"/>
  <c r="S59" i="28"/>
  <c r="R59" i="28"/>
  <c r="M59" i="28"/>
  <c r="L59" i="28"/>
  <c r="G59" i="28"/>
  <c r="F59" i="28"/>
  <c r="S58" i="28"/>
  <c r="R58" i="28"/>
  <c r="M58" i="28"/>
  <c r="L58" i="28"/>
  <c r="G58" i="28"/>
  <c r="F58" i="28"/>
  <c r="S57" i="28"/>
  <c r="R57" i="28"/>
  <c r="Q57" i="28"/>
  <c r="P57" i="28"/>
  <c r="O57" i="28"/>
  <c r="M57" i="28"/>
  <c r="K57" i="28"/>
  <c r="L57" i="28" s="1"/>
  <c r="J57" i="28"/>
  <c r="I57" i="28"/>
  <c r="E57" i="28"/>
  <c r="D57" i="28"/>
  <c r="C57" i="28"/>
  <c r="S56" i="28"/>
  <c r="R56" i="28"/>
  <c r="M56" i="28"/>
  <c r="L56" i="28"/>
  <c r="G56" i="28"/>
  <c r="F56" i="28"/>
  <c r="M55" i="28"/>
  <c r="L55" i="28"/>
  <c r="G55" i="28"/>
  <c r="F55" i="28"/>
  <c r="S54" i="28"/>
  <c r="R54" i="28"/>
  <c r="L54" i="28"/>
  <c r="S53" i="28"/>
  <c r="R53" i="28"/>
  <c r="M53" i="28"/>
  <c r="L53" i="28"/>
  <c r="G53" i="28"/>
  <c r="F53" i="28"/>
  <c r="S52" i="28"/>
  <c r="R52" i="28"/>
  <c r="M52" i="28"/>
  <c r="L52" i="28"/>
  <c r="I52" i="28"/>
  <c r="G52" i="28"/>
  <c r="F52" i="28"/>
  <c r="S51" i="28"/>
  <c r="Q51" i="28"/>
  <c r="P51" i="28"/>
  <c r="O51" i="28"/>
  <c r="K51" i="28"/>
  <c r="M51" i="28" s="1"/>
  <c r="J51" i="28"/>
  <c r="I51" i="28"/>
  <c r="E51" i="28"/>
  <c r="D51" i="28"/>
  <c r="C51" i="28"/>
  <c r="S50" i="28"/>
  <c r="R50" i="28"/>
  <c r="M50" i="28"/>
  <c r="L50" i="28"/>
  <c r="G50" i="28"/>
  <c r="F50" i="28"/>
  <c r="S49" i="28"/>
  <c r="R49" i="28"/>
  <c r="S48" i="28"/>
  <c r="R48" i="28"/>
  <c r="M48" i="28"/>
  <c r="I48" i="28"/>
  <c r="L48" i="28" s="1"/>
  <c r="G48" i="28"/>
  <c r="F48" i="28"/>
  <c r="S47" i="28"/>
  <c r="R47" i="28"/>
  <c r="M47" i="28"/>
  <c r="L47" i="28"/>
  <c r="F47" i="28"/>
  <c r="S46" i="28"/>
  <c r="R46" i="28"/>
  <c r="Q46" i="28"/>
  <c r="P46" i="28"/>
  <c r="O46" i="28"/>
  <c r="M46" i="28"/>
  <c r="K46" i="28"/>
  <c r="L46" i="28" s="1"/>
  <c r="J46" i="28"/>
  <c r="I46" i="28"/>
  <c r="E46" i="28"/>
  <c r="D46" i="28"/>
  <c r="C46" i="28"/>
  <c r="S45" i="28"/>
  <c r="R45" i="28"/>
  <c r="M45" i="28"/>
  <c r="L45" i="28"/>
  <c r="G45" i="28"/>
  <c r="F45" i="28"/>
  <c r="S44" i="28"/>
  <c r="Q44" i="28"/>
  <c r="R44" i="28" s="1"/>
  <c r="P44" i="28"/>
  <c r="O44" i="28"/>
  <c r="K44" i="28"/>
  <c r="J44" i="28"/>
  <c r="I44" i="28"/>
  <c r="E44" i="28"/>
  <c r="D44" i="28"/>
  <c r="C44" i="28"/>
  <c r="S43" i="28"/>
  <c r="R43" i="28"/>
  <c r="M43" i="28"/>
  <c r="L43" i="28"/>
  <c r="G43" i="28"/>
  <c r="F43" i="28"/>
  <c r="S42" i="28"/>
  <c r="R42" i="28"/>
  <c r="M42" i="28"/>
  <c r="L42" i="28"/>
  <c r="I42" i="28"/>
  <c r="G42" i="28"/>
  <c r="F42" i="28"/>
  <c r="S41" i="28"/>
  <c r="R41" i="28"/>
  <c r="S40" i="28"/>
  <c r="R40" i="28"/>
  <c r="M40" i="28"/>
  <c r="K40" i="28"/>
  <c r="L40" i="28" s="1"/>
  <c r="I40" i="28"/>
  <c r="G40" i="28"/>
  <c r="F40" i="28"/>
  <c r="Q39" i="28"/>
  <c r="P39" i="28"/>
  <c r="O39" i="28"/>
  <c r="M39" i="28"/>
  <c r="L39" i="28"/>
  <c r="K39" i="28"/>
  <c r="J39" i="28"/>
  <c r="I39" i="28"/>
  <c r="G39" i="28"/>
  <c r="E39" i="28"/>
  <c r="F39" i="28" s="1"/>
  <c r="D39" i="28"/>
  <c r="C39" i="28"/>
  <c r="S38" i="28"/>
  <c r="R38" i="28"/>
  <c r="M38" i="28"/>
  <c r="L38" i="28"/>
  <c r="I38" i="28"/>
  <c r="G38" i="28"/>
  <c r="F38" i="28"/>
  <c r="S37" i="28"/>
  <c r="R37" i="28"/>
  <c r="M37" i="28"/>
  <c r="L37" i="28"/>
  <c r="G37" i="28"/>
  <c r="F37" i="28"/>
  <c r="S36" i="28"/>
  <c r="R36" i="28"/>
  <c r="M36" i="28"/>
  <c r="L36" i="28"/>
  <c r="G36" i="28"/>
  <c r="F36" i="28"/>
  <c r="S35" i="28"/>
  <c r="Q35" i="28"/>
  <c r="R35" i="28" s="1"/>
  <c r="P35" i="28"/>
  <c r="P9" i="28" s="1"/>
  <c r="P131" i="28" s="1"/>
  <c r="O35" i="28"/>
  <c r="K35" i="28"/>
  <c r="J35" i="28"/>
  <c r="I35" i="28"/>
  <c r="E35" i="28"/>
  <c r="D35" i="28"/>
  <c r="C35" i="28"/>
  <c r="S34" i="28"/>
  <c r="R34" i="28"/>
  <c r="M34" i="28"/>
  <c r="I34" i="28"/>
  <c r="L34" i="28" s="1"/>
  <c r="M33" i="28"/>
  <c r="I33" i="28"/>
  <c r="L33" i="28" s="1"/>
  <c r="S32" i="28"/>
  <c r="R32" i="28"/>
  <c r="M32" i="28"/>
  <c r="L32" i="28"/>
  <c r="G32" i="28"/>
  <c r="F32" i="28"/>
  <c r="S31" i="28"/>
  <c r="R31" i="28"/>
  <c r="M31" i="28"/>
  <c r="L31" i="28"/>
  <c r="G31" i="28"/>
  <c r="F31" i="28"/>
  <c r="S30" i="28"/>
  <c r="R30" i="28"/>
  <c r="L30" i="28"/>
  <c r="F30" i="28"/>
  <c r="S29" i="28"/>
  <c r="R29" i="28"/>
  <c r="Q29" i="28"/>
  <c r="P29" i="28"/>
  <c r="O29" i="28"/>
  <c r="M29" i="28"/>
  <c r="K29" i="28"/>
  <c r="L29" i="28" s="1"/>
  <c r="J29" i="28"/>
  <c r="I29" i="28"/>
  <c r="E29" i="28"/>
  <c r="D29" i="28"/>
  <c r="C29" i="28"/>
  <c r="S28" i="28"/>
  <c r="R28" i="28"/>
  <c r="G28" i="28"/>
  <c r="F28" i="28"/>
  <c r="S27" i="28"/>
  <c r="R27" i="28"/>
  <c r="G27" i="28"/>
  <c r="F27" i="28"/>
  <c r="S26" i="28"/>
  <c r="R26" i="28"/>
  <c r="M26" i="28"/>
  <c r="L26" i="28"/>
  <c r="E26" i="28"/>
  <c r="D26" i="28"/>
  <c r="C26" i="28"/>
  <c r="S25" i="28"/>
  <c r="R25" i="28"/>
  <c r="M25" i="28"/>
  <c r="I25" i="28"/>
  <c r="L25" i="28" s="1"/>
  <c r="G25" i="28"/>
  <c r="F25" i="28"/>
  <c r="S24" i="28"/>
  <c r="R24" i="28"/>
  <c r="M24" i="28"/>
  <c r="L24" i="28"/>
  <c r="I24" i="28"/>
  <c r="G24" i="28"/>
  <c r="F24" i="28"/>
  <c r="S23" i="28"/>
  <c r="R23" i="28"/>
  <c r="M23" i="28"/>
  <c r="L23" i="28"/>
  <c r="K23" i="28"/>
  <c r="I23" i="28"/>
  <c r="G23" i="28"/>
  <c r="F23" i="28"/>
  <c r="S22" i="28"/>
  <c r="R22" i="28"/>
  <c r="G22" i="28"/>
  <c r="F22" i="28"/>
  <c r="S21" i="28"/>
  <c r="R21" i="28"/>
  <c r="M21" i="28"/>
  <c r="L21" i="28"/>
  <c r="I21" i="28"/>
  <c r="G21" i="28"/>
  <c r="F21" i="28"/>
  <c r="S20" i="28"/>
  <c r="R20" i="28"/>
  <c r="M20" i="28"/>
  <c r="I20" i="28"/>
  <c r="L20" i="28" s="1"/>
  <c r="G20" i="28"/>
  <c r="F20" i="28"/>
  <c r="S19" i="28"/>
  <c r="R19" i="28"/>
  <c r="Q19" i="28"/>
  <c r="P19" i="28"/>
  <c r="O19" i="28"/>
  <c r="M19" i="28"/>
  <c r="K19" i="28"/>
  <c r="J19" i="28"/>
  <c r="D19" i="28"/>
  <c r="D9" i="28" s="1"/>
  <c r="D131" i="28" s="1"/>
  <c r="C19" i="28"/>
  <c r="S18" i="28"/>
  <c r="R18" i="28"/>
  <c r="S17" i="28"/>
  <c r="R17" i="28"/>
  <c r="M17" i="28"/>
  <c r="I17" i="28"/>
  <c r="E17" i="28"/>
  <c r="G17" i="28" s="1"/>
  <c r="D17" i="28"/>
  <c r="D14" i="28" s="1"/>
  <c r="C17" i="28"/>
  <c r="S16" i="28"/>
  <c r="R16" i="28"/>
  <c r="S15" i="28"/>
  <c r="R15" i="28"/>
  <c r="M15" i="28"/>
  <c r="L15" i="28"/>
  <c r="G15" i="28"/>
  <c r="F15" i="28"/>
  <c r="Q14" i="28"/>
  <c r="P14" i="28"/>
  <c r="O14" i="28"/>
  <c r="M14" i="28"/>
  <c r="K14" i="28"/>
  <c r="J14" i="28"/>
  <c r="C14" i="28"/>
  <c r="S13" i="28"/>
  <c r="R13" i="28"/>
  <c r="M13" i="28"/>
  <c r="L13" i="28"/>
  <c r="K13" i="28"/>
  <c r="I13" i="28"/>
  <c r="G13" i="28"/>
  <c r="F13" i="28"/>
  <c r="E13" i="28"/>
  <c r="D13" i="28"/>
  <c r="C13" i="28"/>
  <c r="C11" i="28" s="1"/>
  <c r="S12" i="28"/>
  <c r="R12" i="28"/>
  <c r="M12" i="28"/>
  <c r="L12" i="28"/>
  <c r="G12" i="28"/>
  <c r="F12" i="28"/>
  <c r="Q11" i="28"/>
  <c r="P11" i="28"/>
  <c r="O11" i="28"/>
  <c r="M11" i="28"/>
  <c r="L11" i="28"/>
  <c r="K11" i="28"/>
  <c r="J11" i="28"/>
  <c r="I11" i="28"/>
  <c r="H11" i="28"/>
  <c r="E11" i="28"/>
  <c r="D11" i="28"/>
  <c r="Q9" i="28"/>
  <c r="H9" i="28"/>
  <c r="S9" i="28" l="1"/>
  <c r="R67" i="28"/>
  <c r="S67" i="28"/>
  <c r="G93" i="28"/>
  <c r="F93" i="28"/>
  <c r="O9" i="28"/>
  <c r="O131" i="28" s="1"/>
  <c r="S14" i="28"/>
  <c r="R14" i="28"/>
  <c r="L17" i="28"/>
  <c r="I14" i="28"/>
  <c r="I19" i="28"/>
  <c r="G29" i="28"/>
  <c r="R39" i="28"/>
  <c r="S39" i="28"/>
  <c r="M44" i="28"/>
  <c r="G51" i="28"/>
  <c r="F51" i="28"/>
  <c r="G57" i="28"/>
  <c r="S61" i="28"/>
  <c r="R61" i="28"/>
  <c r="G69" i="28"/>
  <c r="F69" i="28"/>
  <c r="G71" i="28"/>
  <c r="G81" i="28"/>
  <c r="G86" i="28"/>
  <c r="F90" i="28"/>
  <c r="G90" i="28"/>
  <c r="S96" i="28"/>
  <c r="F100" i="28"/>
  <c r="G100" i="28"/>
  <c r="S114" i="28"/>
  <c r="F117" i="28"/>
  <c r="G117" i="28"/>
  <c r="M119" i="28"/>
  <c r="L119" i="28"/>
  <c r="K117" i="28"/>
  <c r="G11" i="28"/>
  <c r="C9" i="28"/>
  <c r="C131" i="28" s="1"/>
  <c r="J9" i="28"/>
  <c r="J131" i="28" s="1"/>
  <c r="J140" i="28" s="1"/>
  <c r="G26" i="28"/>
  <c r="F26" i="28"/>
  <c r="E19" i="28"/>
  <c r="M35" i="28"/>
  <c r="G44" i="28"/>
  <c r="F44" i="28"/>
  <c r="G46" i="28"/>
  <c r="R93" i="28"/>
  <c r="M96" i="28"/>
  <c r="S11" i="28"/>
  <c r="R11" i="28"/>
  <c r="L19" i="28"/>
  <c r="G35" i="28"/>
  <c r="F35" i="28"/>
  <c r="R51" i="28"/>
  <c r="F61" i="28"/>
  <c r="F67" i="28"/>
  <c r="R69" i="28"/>
  <c r="R73" i="28"/>
  <c r="R90" i="28"/>
  <c r="M93" i="28"/>
  <c r="F109" i="28"/>
  <c r="E14" i="28"/>
  <c r="F17" i="28"/>
  <c r="F29" i="28"/>
  <c r="L35" i="28"/>
  <c r="L44" i="28"/>
  <c r="F46" i="28"/>
  <c r="L51" i="28"/>
  <c r="F57" i="28"/>
  <c r="L65" i="28"/>
  <c r="L69" i="28"/>
  <c r="F71" i="28"/>
  <c r="F81" i="28"/>
  <c r="F86" i="28"/>
  <c r="L90" i="28"/>
  <c r="L93" i="28"/>
  <c r="I96" i="28"/>
  <c r="L96" i="28" s="1"/>
  <c r="R96" i="28"/>
  <c r="R100" i="28"/>
  <c r="R114" i="28"/>
  <c r="Q117" i="28"/>
  <c r="R119" i="28"/>
  <c r="E123" i="28"/>
  <c r="F125" i="28"/>
  <c r="F11" i="28"/>
  <c r="K61" i="28"/>
  <c r="K123" i="28"/>
  <c r="F163" i="21"/>
  <c r="E163" i="21"/>
  <c r="E162" i="21" s="1"/>
  <c r="F162" i="21"/>
  <c r="F161" i="21" s="1"/>
  <c r="F160" i="21" s="1"/>
  <c r="E161" i="21"/>
  <c r="E160" i="21" s="1"/>
  <c r="J159" i="21"/>
  <c r="K159" i="21" s="1"/>
  <c r="K158" i="21" s="1"/>
  <c r="I159" i="21"/>
  <c r="I158" i="21" s="1"/>
  <c r="F159" i="21"/>
  <c r="E159" i="21"/>
  <c r="E158" i="21" s="1"/>
  <c r="F158" i="21"/>
  <c r="F157" i="21"/>
  <c r="E157" i="21"/>
  <c r="E155" i="21" s="1"/>
  <c r="E154" i="21" s="1"/>
  <c r="F156" i="21"/>
  <c r="G156" i="21" s="1"/>
  <c r="E156" i="21"/>
  <c r="J155" i="21"/>
  <c r="J154" i="21" s="1"/>
  <c r="I155" i="21"/>
  <c r="F155" i="21"/>
  <c r="F154" i="21" s="1"/>
  <c r="I154" i="21"/>
  <c r="K153" i="21"/>
  <c r="F153" i="21"/>
  <c r="G153" i="21" s="1"/>
  <c r="E153" i="21"/>
  <c r="K152" i="21"/>
  <c r="F152" i="21"/>
  <c r="F151" i="21" s="1"/>
  <c r="E152" i="21"/>
  <c r="J151" i="21"/>
  <c r="K151" i="21" s="1"/>
  <c r="I151" i="21"/>
  <c r="I150" i="21" s="1"/>
  <c r="I146" i="21" s="1"/>
  <c r="E151" i="21"/>
  <c r="J150" i="21"/>
  <c r="F150" i="21"/>
  <c r="F146" i="21" s="1"/>
  <c r="E150" i="21"/>
  <c r="F149" i="21"/>
  <c r="E149" i="21"/>
  <c r="E148" i="21" s="1"/>
  <c r="F148" i="21"/>
  <c r="G148" i="21" s="1"/>
  <c r="F147" i="21"/>
  <c r="E147" i="21"/>
  <c r="E146" i="21"/>
  <c r="F145" i="21"/>
  <c r="E145" i="21"/>
  <c r="E144" i="21" s="1"/>
  <c r="F144" i="21"/>
  <c r="F141" i="21" s="1"/>
  <c r="F140" i="21" s="1"/>
  <c r="K143" i="21"/>
  <c r="F143" i="21"/>
  <c r="F142" i="21" s="1"/>
  <c r="E143" i="21"/>
  <c r="K142" i="21"/>
  <c r="J142" i="21"/>
  <c r="I142" i="21"/>
  <c r="I141" i="21" s="1"/>
  <c r="I140" i="21" s="1"/>
  <c r="E142" i="21"/>
  <c r="K141" i="21"/>
  <c r="J141" i="21"/>
  <c r="J140" i="21" s="1"/>
  <c r="E141" i="21"/>
  <c r="E140" i="21" s="1"/>
  <c r="K140" i="21"/>
  <c r="G140" i="21"/>
  <c r="K139" i="21"/>
  <c r="F139" i="21"/>
  <c r="G139" i="21" s="1"/>
  <c r="E139" i="21"/>
  <c r="K138" i="21"/>
  <c r="J138" i="21"/>
  <c r="F138" i="21"/>
  <c r="E138" i="21"/>
  <c r="E137" i="21" s="1"/>
  <c r="E136" i="21" s="1"/>
  <c r="J137" i="21"/>
  <c r="J136" i="21" s="1"/>
  <c r="I137" i="21"/>
  <c r="F137" i="21"/>
  <c r="F136" i="21" s="1"/>
  <c r="I136" i="21"/>
  <c r="G136" i="21"/>
  <c r="K135" i="21"/>
  <c r="F135" i="21"/>
  <c r="F134" i="21" s="1"/>
  <c r="F129" i="21" s="1"/>
  <c r="F114" i="21" s="1"/>
  <c r="E135" i="21"/>
  <c r="K134" i="21"/>
  <c r="J134" i="21"/>
  <c r="J129" i="21" s="1"/>
  <c r="I134" i="21"/>
  <c r="E134" i="21"/>
  <c r="K133" i="21"/>
  <c r="G133" i="21"/>
  <c r="F133" i="21"/>
  <c r="E133" i="21"/>
  <c r="K132" i="21"/>
  <c r="G132" i="21"/>
  <c r="F132" i="21"/>
  <c r="E132" i="21"/>
  <c r="F131" i="21"/>
  <c r="F130" i="21" s="1"/>
  <c r="E131" i="21"/>
  <c r="J130" i="21"/>
  <c r="K130" i="21" s="1"/>
  <c r="I130" i="21"/>
  <c r="E130" i="21"/>
  <c r="E129" i="21"/>
  <c r="F128" i="21"/>
  <c r="E128" i="21"/>
  <c r="G128" i="21" s="1"/>
  <c r="G127" i="21"/>
  <c r="F127" i="21"/>
  <c r="F126" i="21" s="1"/>
  <c r="E127" i="21"/>
  <c r="J126" i="21"/>
  <c r="K126" i="21" s="1"/>
  <c r="I126" i="21"/>
  <c r="K125" i="21"/>
  <c r="G125" i="21"/>
  <c r="F125" i="21"/>
  <c r="E125" i="21"/>
  <c r="J124" i="21"/>
  <c r="K124" i="21" s="1"/>
  <c r="I124" i="21"/>
  <c r="F124" i="21"/>
  <c r="E124" i="21"/>
  <c r="G123" i="21"/>
  <c r="F123" i="21"/>
  <c r="E123" i="21"/>
  <c r="E116" i="21" s="1"/>
  <c r="F122" i="21"/>
  <c r="G122" i="21" s="1"/>
  <c r="E122" i="21"/>
  <c r="K121" i="21"/>
  <c r="F121" i="21"/>
  <c r="G121" i="21" s="1"/>
  <c r="E121" i="21"/>
  <c r="K120" i="21"/>
  <c r="F120" i="21"/>
  <c r="G120" i="21" s="1"/>
  <c r="E120" i="21"/>
  <c r="K119" i="21"/>
  <c r="F119" i="21"/>
  <c r="G119" i="21" s="1"/>
  <c r="E119" i="21"/>
  <c r="K118" i="21"/>
  <c r="F118" i="21"/>
  <c r="G118" i="21" s="1"/>
  <c r="E118" i="21"/>
  <c r="K117" i="21"/>
  <c r="F117" i="21"/>
  <c r="F116" i="21" s="1"/>
  <c r="E117" i="21"/>
  <c r="J116" i="21"/>
  <c r="K116" i="21" s="1"/>
  <c r="I116" i="21"/>
  <c r="I115" i="21" s="1"/>
  <c r="F115" i="21"/>
  <c r="K113" i="21"/>
  <c r="F113" i="21"/>
  <c r="G113" i="21" s="1"/>
  <c r="E113" i="21"/>
  <c r="E112" i="21" s="1"/>
  <c r="J112" i="21"/>
  <c r="I112" i="21"/>
  <c r="F112" i="21"/>
  <c r="K111" i="21"/>
  <c r="F111" i="21"/>
  <c r="F110" i="21" s="1"/>
  <c r="E111" i="21"/>
  <c r="J110" i="21"/>
  <c r="K110" i="21" s="1"/>
  <c r="I110" i="21"/>
  <c r="E110" i="21"/>
  <c r="K109" i="21"/>
  <c r="F109" i="21"/>
  <c r="E109" i="21"/>
  <c r="G109" i="21" s="1"/>
  <c r="K108" i="21"/>
  <c r="F108" i="21"/>
  <c r="E108" i="21"/>
  <c r="G108" i="21" s="1"/>
  <c r="K107" i="21"/>
  <c r="F107" i="21"/>
  <c r="E107" i="21"/>
  <c r="E106" i="21" s="1"/>
  <c r="J106" i="21"/>
  <c r="K106" i="21" s="1"/>
  <c r="I106" i="21"/>
  <c r="F106" i="21"/>
  <c r="F105" i="21"/>
  <c r="E105" i="21"/>
  <c r="G105" i="21" s="1"/>
  <c r="F104" i="21"/>
  <c r="F103" i="21"/>
  <c r="E103" i="21"/>
  <c r="K102" i="21"/>
  <c r="F102" i="21"/>
  <c r="E102" i="21"/>
  <c r="G101" i="21"/>
  <c r="F101" i="21"/>
  <c r="E101" i="21"/>
  <c r="E98" i="21" s="1"/>
  <c r="F100" i="21"/>
  <c r="G100" i="21" s="1"/>
  <c r="E100" i="21"/>
  <c r="K99" i="21"/>
  <c r="F99" i="21"/>
  <c r="F98" i="21" s="1"/>
  <c r="F95" i="21" s="1"/>
  <c r="F94" i="21" s="1"/>
  <c r="E99" i="21"/>
  <c r="J98" i="21"/>
  <c r="K98" i="21" s="1"/>
  <c r="I98" i="21"/>
  <c r="K97" i="21"/>
  <c r="G97" i="21"/>
  <c r="F97" i="21"/>
  <c r="E97" i="21"/>
  <c r="J96" i="21"/>
  <c r="J95" i="21" s="1"/>
  <c r="I96" i="21"/>
  <c r="F96" i="21"/>
  <c r="E96" i="21"/>
  <c r="I95" i="21"/>
  <c r="K95" i="21" s="1"/>
  <c r="K94" i="21" s="1"/>
  <c r="J94" i="21"/>
  <c r="I94" i="21"/>
  <c r="G94" i="21"/>
  <c r="K93" i="21"/>
  <c r="G93" i="21"/>
  <c r="F93" i="21"/>
  <c r="E93" i="21"/>
  <c r="K92" i="21"/>
  <c r="J92" i="21"/>
  <c r="J91" i="21" s="1"/>
  <c r="I92" i="21"/>
  <c r="F92" i="21"/>
  <c r="E92" i="21"/>
  <c r="K91" i="21"/>
  <c r="K90" i="21" s="1"/>
  <c r="I91" i="21"/>
  <c r="F91" i="21"/>
  <c r="F90" i="21" s="1"/>
  <c r="E91" i="21"/>
  <c r="J90" i="21"/>
  <c r="I90" i="21"/>
  <c r="G90" i="21"/>
  <c r="E90" i="21"/>
  <c r="K89" i="21"/>
  <c r="F89" i="21"/>
  <c r="E89" i="21"/>
  <c r="G89" i="21" s="1"/>
  <c r="K88" i="21"/>
  <c r="J88" i="21"/>
  <c r="I88" i="21"/>
  <c r="F88" i="21"/>
  <c r="E88" i="21"/>
  <c r="E80" i="21" s="1"/>
  <c r="E79" i="21" s="1"/>
  <c r="F87" i="21"/>
  <c r="E87" i="21"/>
  <c r="G87" i="21" s="1"/>
  <c r="G86" i="21"/>
  <c r="F86" i="21"/>
  <c r="E86" i="21"/>
  <c r="K85" i="21"/>
  <c r="G85" i="21"/>
  <c r="F85" i="21"/>
  <c r="E85" i="21"/>
  <c r="F84" i="21"/>
  <c r="F81" i="21" s="1"/>
  <c r="F80" i="21" s="1"/>
  <c r="F79" i="21" s="1"/>
  <c r="E84" i="21"/>
  <c r="F83" i="21"/>
  <c r="E83" i="21"/>
  <c r="G82" i="21"/>
  <c r="F82" i="21"/>
  <c r="E82" i="21"/>
  <c r="J81" i="21"/>
  <c r="J80" i="21" s="1"/>
  <c r="I81" i="21"/>
  <c r="E81" i="21"/>
  <c r="K80" i="21"/>
  <c r="I80" i="21"/>
  <c r="J79" i="21"/>
  <c r="K79" i="21" s="1"/>
  <c r="I79" i="21"/>
  <c r="G79" i="21"/>
  <c r="G78" i="21"/>
  <c r="F78" i="21"/>
  <c r="E78" i="21"/>
  <c r="F77" i="21"/>
  <c r="F76" i="21" s="1"/>
  <c r="F75" i="21" s="1"/>
  <c r="E77" i="21"/>
  <c r="E76" i="21" s="1"/>
  <c r="G75" i="21"/>
  <c r="E75" i="21"/>
  <c r="K74" i="21"/>
  <c r="F74" i="21"/>
  <c r="G74" i="21" s="1"/>
  <c r="E74" i="21"/>
  <c r="K73" i="21"/>
  <c r="F73" i="21"/>
  <c r="G73" i="21" s="1"/>
  <c r="E73" i="21"/>
  <c r="E72" i="21" s="1"/>
  <c r="E71" i="21" s="1"/>
  <c r="J72" i="21"/>
  <c r="I72" i="21"/>
  <c r="F72" i="21"/>
  <c r="J71" i="21"/>
  <c r="I71" i="21"/>
  <c r="G71" i="21"/>
  <c r="F71" i="21"/>
  <c r="F70" i="21"/>
  <c r="E70" i="21"/>
  <c r="G70" i="21" s="1"/>
  <c r="F69" i="21"/>
  <c r="F68" i="21" s="1"/>
  <c r="J67" i="21"/>
  <c r="J66" i="21" s="1"/>
  <c r="I67" i="21"/>
  <c r="F67" i="21"/>
  <c r="E67" i="21"/>
  <c r="K66" i="21"/>
  <c r="I66" i="21"/>
  <c r="F66" i="21"/>
  <c r="E66" i="21"/>
  <c r="J65" i="21"/>
  <c r="I65" i="21"/>
  <c r="F65" i="21"/>
  <c r="F64" i="21" s="1"/>
  <c r="E65" i="21"/>
  <c r="K64" i="21"/>
  <c r="J64" i="21"/>
  <c r="I64" i="21"/>
  <c r="I59" i="21" s="1"/>
  <c r="I58" i="21" s="1"/>
  <c r="E64" i="21"/>
  <c r="F63" i="21"/>
  <c r="G63" i="21" s="1"/>
  <c r="E63" i="21"/>
  <c r="J62" i="21"/>
  <c r="J60" i="21" s="1"/>
  <c r="I62" i="21"/>
  <c r="I60" i="21" s="1"/>
  <c r="F62" i="21"/>
  <c r="E62" i="21"/>
  <c r="G62" i="21" s="1"/>
  <c r="K61" i="21"/>
  <c r="F61" i="21"/>
  <c r="E61" i="21"/>
  <c r="G61" i="21" s="1"/>
  <c r="F60" i="21"/>
  <c r="E60" i="21"/>
  <c r="F59" i="21"/>
  <c r="E59" i="21"/>
  <c r="F58" i="21"/>
  <c r="G57" i="21"/>
  <c r="F57" i="21"/>
  <c r="E57" i="21"/>
  <c r="F56" i="21"/>
  <c r="E56" i="21"/>
  <c r="E54" i="21" s="1"/>
  <c r="E53" i="21" s="1"/>
  <c r="F55" i="21"/>
  <c r="E55" i="21"/>
  <c r="J54" i="21"/>
  <c r="K54" i="21" s="1"/>
  <c r="K53" i="21" s="1"/>
  <c r="I54" i="21"/>
  <c r="I53" i="21" s="1"/>
  <c r="J53" i="21"/>
  <c r="J47" i="21" s="1"/>
  <c r="K52" i="21"/>
  <c r="K51" i="21" s="1"/>
  <c r="J52" i="21"/>
  <c r="I52" i="21"/>
  <c r="F52" i="21"/>
  <c r="F51" i="21" s="1"/>
  <c r="E52" i="21"/>
  <c r="J51" i="21"/>
  <c r="I51" i="21"/>
  <c r="E51" i="21"/>
  <c r="K50" i="21"/>
  <c r="F50" i="21"/>
  <c r="E50" i="21"/>
  <c r="E49" i="21" s="1"/>
  <c r="E48" i="21" s="1"/>
  <c r="E47" i="21" s="1"/>
  <c r="K49" i="21"/>
  <c r="J49" i="21"/>
  <c r="J48" i="21" s="1"/>
  <c r="I49" i="21"/>
  <c r="F49" i="21"/>
  <c r="I48" i="21"/>
  <c r="K48" i="21" s="1"/>
  <c r="F48" i="21"/>
  <c r="I47" i="21"/>
  <c r="F46" i="21"/>
  <c r="F45" i="21" s="1"/>
  <c r="F44" i="21" s="1"/>
  <c r="F43" i="21" s="1"/>
  <c r="E46" i="21"/>
  <c r="E45" i="21"/>
  <c r="E44" i="21" s="1"/>
  <c r="E43" i="21" s="1"/>
  <c r="G42" i="21"/>
  <c r="F42" i="21"/>
  <c r="E42" i="21"/>
  <c r="F41" i="21"/>
  <c r="G41" i="21" s="1"/>
  <c r="E41" i="21"/>
  <c r="K40" i="21"/>
  <c r="F40" i="21"/>
  <c r="G40" i="21" s="1"/>
  <c r="E40" i="21"/>
  <c r="E39" i="21" s="1"/>
  <c r="J39" i="21"/>
  <c r="I39" i="21"/>
  <c r="F39" i="21"/>
  <c r="F38" i="21" s="1"/>
  <c r="J38" i="21"/>
  <c r="I38" i="21"/>
  <c r="E38" i="21"/>
  <c r="F37" i="21"/>
  <c r="G37" i="21" s="1"/>
  <c r="E37" i="21"/>
  <c r="G36" i="21"/>
  <c r="F36" i="21"/>
  <c r="E36" i="21"/>
  <c r="E35" i="21" s="1"/>
  <c r="E34" i="21" s="1"/>
  <c r="I35" i="21"/>
  <c r="F35" i="21"/>
  <c r="F34" i="21" s="1"/>
  <c r="K34" i="21"/>
  <c r="J34" i="21"/>
  <c r="I34" i="21"/>
  <c r="K33" i="21"/>
  <c r="G33" i="21"/>
  <c r="F33" i="21"/>
  <c r="E33" i="21"/>
  <c r="F32" i="21"/>
  <c r="E32" i="21"/>
  <c r="F31" i="21"/>
  <c r="E31" i="21"/>
  <c r="G31" i="21" s="1"/>
  <c r="G30" i="21"/>
  <c r="F30" i="21"/>
  <c r="E30" i="21"/>
  <c r="K29" i="21"/>
  <c r="G29" i="21"/>
  <c r="F29" i="21"/>
  <c r="E29" i="21"/>
  <c r="F28" i="21"/>
  <c r="G28" i="21" s="1"/>
  <c r="E28" i="21"/>
  <c r="F27" i="21"/>
  <c r="E27" i="21"/>
  <c r="K26" i="21"/>
  <c r="F26" i="21"/>
  <c r="E26" i="21"/>
  <c r="K25" i="21"/>
  <c r="F25" i="21"/>
  <c r="G25" i="21" s="1"/>
  <c r="E25" i="21"/>
  <c r="K24" i="21"/>
  <c r="F24" i="21"/>
  <c r="E24" i="21"/>
  <c r="E23" i="21" s="1"/>
  <c r="E22" i="21" s="1"/>
  <c r="J23" i="21"/>
  <c r="I23" i="21"/>
  <c r="K23" i="21" s="1"/>
  <c r="F23" i="21"/>
  <c r="J22" i="21"/>
  <c r="I22" i="21"/>
  <c r="F22" i="21"/>
  <c r="F21" i="21"/>
  <c r="G21" i="21" s="1"/>
  <c r="E21" i="21"/>
  <c r="F20" i="21"/>
  <c r="G20" i="21" s="1"/>
  <c r="E20" i="21"/>
  <c r="K18" i="21"/>
  <c r="G18" i="21"/>
  <c r="F18" i="21"/>
  <c r="E18" i="21"/>
  <c r="K17" i="21"/>
  <c r="G17" i="21"/>
  <c r="F17" i="21"/>
  <c r="F16" i="21" s="1"/>
  <c r="E17" i="21"/>
  <c r="J16" i="21"/>
  <c r="K16" i="21" s="1"/>
  <c r="I16" i="21"/>
  <c r="E16" i="21"/>
  <c r="E12" i="21" s="1"/>
  <c r="F15" i="21"/>
  <c r="G15" i="21" s="1"/>
  <c r="E15" i="21"/>
  <c r="K14" i="21"/>
  <c r="F14" i="21"/>
  <c r="F13" i="21" s="1"/>
  <c r="E14" i="21"/>
  <c r="J13" i="21"/>
  <c r="K13" i="21" s="1"/>
  <c r="I13" i="21"/>
  <c r="I12" i="21" s="1"/>
  <c r="E13" i="21"/>
  <c r="F12" i="21"/>
  <c r="K11" i="21"/>
  <c r="F11" i="21"/>
  <c r="E11" i="21"/>
  <c r="K10" i="21"/>
  <c r="F10" i="21"/>
  <c r="E10" i="21"/>
  <c r="K9" i="21"/>
  <c r="J9" i="21"/>
  <c r="I9" i="21"/>
  <c r="I8" i="21" s="1"/>
  <c r="F9" i="21"/>
  <c r="E9" i="21"/>
  <c r="R117" i="28" l="1"/>
  <c r="S117" i="28"/>
  <c r="G19" i="28"/>
  <c r="F19" i="28"/>
  <c r="I9" i="28"/>
  <c r="I131" i="28" s="1"/>
  <c r="I140" i="28" s="1"/>
  <c r="L14" i="28"/>
  <c r="R9" i="28"/>
  <c r="M61" i="28"/>
  <c r="L61" i="28"/>
  <c r="F123" i="28"/>
  <c r="G123" i="28"/>
  <c r="E114" i="28"/>
  <c r="M117" i="28"/>
  <c r="L117" i="28"/>
  <c r="Q131" i="28"/>
  <c r="K9" i="28"/>
  <c r="F14" i="28"/>
  <c r="E9" i="28"/>
  <c r="G14" i="28"/>
  <c r="E95" i="21"/>
  <c r="E94" i="21" s="1"/>
  <c r="I114" i="21"/>
  <c r="I164" i="21" s="1"/>
  <c r="I168" i="21" s="1"/>
  <c r="K8" i="21"/>
  <c r="K47" i="21"/>
  <c r="J59" i="21"/>
  <c r="K60" i="21"/>
  <c r="E58" i="21"/>
  <c r="G11" i="21"/>
  <c r="J12" i="21"/>
  <c r="K12" i="21" s="1"/>
  <c r="G14" i="21"/>
  <c r="G24" i="21"/>
  <c r="G32" i="21"/>
  <c r="G56" i="21"/>
  <c r="K81" i="21"/>
  <c r="G84" i="21"/>
  <c r="G99" i="21"/>
  <c r="G103" i="21"/>
  <c r="J115" i="21"/>
  <c r="G117" i="21"/>
  <c r="I129" i="21"/>
  <c r="K129" i="21" s="1"/>
  <c r="G135" i="21"/>
  <c r="J146" i="21"/>
  <c r="K146" i="21" s="1"/>
  <c r="G152" i="21"/>
  <c r="G10" i="21"/>
  <c r="F19" i="21"/>
  <c r="F8" i="21" s="1"/>
  <c r="F164" i="21" s="1"/>
  <c r="F168" i="21" s="1"/>
  <c r="K22" i="21"/>
  <c r="G27" i="21"/>
  <c r="K39" i="21"/>
  <c r="K38" i="21" s="1"/>
  <c r="G50" i="21"/>
  <c r="G52" i="21"/>
  <c r="G65" i="21"/>
  <c r="G67" i="21"/>
  <c r="E69" i="21"/>
  <c r="E68" i="21" s="1"/>
  <c r="G83" i="21"/>
  <c r="K96" i="21"/>
  <c r="G102" i="21"/>
  <c r="E104" i="21"/>
  <c r="G107" i="21"/>
  <c r="G111" i="21"/>
  <c r="K112" i="21"/>
  <c r="E126" i="21"/>
  <c r="E115" i="21" s="1"/>
  <c r="E114" i="21" s="1"/>
  <c r="G131" i="21"/>
  <c r="G138" i="21"/>
  <c r="G149" i="21"/>
  <c r="K150" i="21"/>
  <c r="G157" i="21"/>
  <c r="E19" i="21"/>
  <c r="E8" i="21" s="1"/>
  <c r="G26" i="21"/>
  <c r="G46" i="21"/>
  <c r="F54" i="21"/>
  <c r="F53" i="21" s="1"/>
  <c r="F47" i="21" s="1"/>
  <c r="K72" i="21"/>
  <c r="K71" i="21" s="1"/>
  <c r="K137" i="21"/>
  <c r="K136" i="21" s="1"/>
  <c r="G143" i="21"/>
  <c r="G145" i="21"/>
  <c r="G159" i="21"/>
  <c r="G163" i="21"/>
  <c r="M9" i="28" l="1"/>
  <c r="K131" i="28"/>
  <c r="L9" i="28"/>
  <c r="S131" i="28"/>
  <c r="R131" i="28"/>
  <c r="E131" i="28"/>
  <c r="G9" i="28"/>
  <c r="F9" i="28"/>
  <c r="G114" i="28"/>
  <c r="F114" i="28"/>
  <c r="E164" i="21"/>
  <c r="E168" i="21" s="1"/>
  <c r="J114" i="21"/>
  <c r="K114" i="21" s="1"/>
  <c r="K115" i="21"/>
  <c r="K59" i="21"/>
  <c r="J58" i="21"/>
  <c r="G131" i="28" l="1"/>
  <c r="F131" i="28"/>
  <c r="K140" i="28"/>
  <c r="L131" i="28"/>
  <c r="M131" i="28"/>
  <c r="K58" i="21"/>
  <c r="J164" i="21"/>
  <c r="K164" i="21" l="1"/>
  <c r="J168" i="21"/>
  <c r="T102" i="25" l="1"/>
  <c r="Q102" i="25"/>
  <c r="N102" i="25"/>
  <c r="K102" i="25"/>
  <c r="H102" i="25"/>
  <c r="D102" i="25"/>
  <c r="C102" i="25"/>
  <c r="E102" i="25" s="1"/>
  <c r="T101" i="25"/>
  <c r="S101" i="25"/>
  <c r="R101" i="25"/>
  <c r="P101" i="25"/>
  <c r="P90" i="25" s="1"/>
  <c r="O101" i="25"/>
  <c r="Q101" i="25" s="1"/>
  <c r="M101" i="25"/>
  <c r="L101" i="25"/>
  <c r="N101" i="25" s="1"/>
  <c r="K101" i="25"/>
  <c r="J101" i="25"/>
  <c r="I101" i="25"/>
  <c r="G101" i="25"/>
  <c r="F101" i="25"/>
  <c r="H101" i="25" s="1"/>
  <c r="T100" i="25"/>
  <c r="Q100" i="25"/>
  <c r="N100" i="25"/>
  <c r="K100" i="25"/>
  <c r="H100" i="25"/>
  <c r="D100" i="25"/>
  <c r="C100" i="25"/>
  <c r="E100" i="25" s="1"/>
  <c r="T99" i="25"/>
  <c r="Q99" i="25"/>
  <c r="N99" i="25"/>
  <c r="K99" i="25"/>
  <c r="H99" i="25"/>
  <c r="D99" i="25"/>
  <c r="C99" i="25"/>
  <c r="E99" i="25" s="1"/>
  <c r="S98" i="25"/>
  <c r="S90" i="25" s="1"/>
  <c r="R98" i="25"/>
  <c r="T98" i="25" s="1"/>
  <c r="P98" i="25"/>
  <c r="O98" i="25"/>
  <c r="Q98" i="25" s="1"/>
  <c r="N98" i="25"/>
  <c r="M98" i="25"/>
  <c r="L98" i="25"/>
  <c r="J98" i="25"/>
  <c r="I98" i="25"/>
  <c r="K98" i="25" s="1"/>
  <c r="G98" i="25"/>
  <c r="F98" i="25"/>
  <c r="T97" i="25"/>
  <c r="Q97" i="25"/>
  <c r="N97" i="25"/>
  <c r="K97" i="25"/>
  <c r="H97" i="25"/>
  <c r="D97" i="25"/>
  <c r="C97" i="25"/>
  <c r="S96" i="25"/>
  <c r="R96" i="25"/>
  <c r="T96" i="25" s="1"/>
  <c r="P96" i="25"/>
  <c r="O96" i="25"/>
  <c r="Q96" i="25" s="1"/>
  <c r="M96" i="25"/>
  <c r="D96" i="25" s="1"/>
  <c r="L96" i="25"/>
  <c r="J96" i="25"/>
  <c r="I96" i="25"/>
  <c r="K96" i="25" s="1"/>
  <c r="H96" i="25"/>
  <c r="G96" i="25"/>
  <c r="F96" i="25"/>
  <c r="T95" i="25"/>
  <c r="Q95" i="25"/>
  <c r="N95" i="25"/>
  <c r="K95" i="25"/>
  <c r="H95" i="25"/>
  <c r="D95" i="25"/>
  <c r="C95" i="25"/>
  <c r="S94" i="25"/>
  <c r="R94" i="25"/>
  <c r="T94" i="25" s="1"/>
  <c r="P94" i="25"/>
  <c r="O94" i="25"/>
  <c r="Q94" i="25" s="1"/>
  <c r="M94" i="25"/>
  <c r="L94" i="25"/>
  <c r="J94" i="25"/>
  <c r="I94" i="25"/>
  <c r="K94" i="25" s="1"/>
  <c r="G94" i="25"/>
  <c r="F94" i="25"/>
  <c r="T93" i="25"/>
  <c r="Q93" i="25"/>
  <c r="N93" i="25"/>
  <c r="K93" i="25"/>
  <c r="H93" i="25"/>
  <c r="D93" i="25"/>
  <c r="C93" i="25"/>
  <c r="E93" i="25" s="1"/>
  <c r="T92" i="25"/>
  <c r="Q92" i="25"/>
  <c r="N92" i="25"/>
  <c r="K92" i="25"/>
  <c r="H92" i="25"/>
  <c r="D92" i="25"/>
  <c r="C92" i="25"/>
  <c r="E92" i="25" s="1"/>
  <c r="S91" i="25"/>
  <c r="R91" i="25"/>
  <c r="T91" i="25" s="1"/>
  <c r="P91" i="25"/>
  <c r="O91" i="25"/>
  <c r="Q91" i="25" s="1"/>
  <c r="M91" i="25"/>
  <c r="M90" i="25" s="1"/>
  <c r="L91" i="25"/>
  <c r="J91" i="25"/>
  <c r="I91" i="25"/>
  <c r="K91" i="25" s="1"/>
  <c r="G91" i="25"/>
  <c r="F91" i="25"/>
  <c r="J90" i="25"/>
  <c r="T89" i="25"/>
  <c r="Q89" i="25"/>
  <c r="N89" i="25"/>
  <c r="K89" i="25"/>
  <c r="H89" i="25"/>
  <c r="D89" i="25"/>
  <c r="C89" i="25"/>
  <c r="S88" i="25"/>
  <c r="R88" i="25"/>
  <c r="T88" i="25" s="1"/>
  <c r="P88" i="25"/>
  <c r="Q88" i="25" s="1"/>
  <c r="O88" i="25"/>
  <c r="M88" i="25"/>
  <c r="L88" i="25"/>
  <c r="N88" i="25" s="1"/>
  <c r="J88" i="25"/>
  <c r="I88" i="25"/>
  <c r="K88" i="25" s="1"/>
  <c r="H88" i="25"/>
  <c r="G88" i="25"/>
  <c r="F88" i="25"/>
  <c r="T87" i="25"/>
  <c r="Q87" i="25"/>
  <c r="N87" i="25"/>
  <c r="K87" i="25"/>
  <c r="H87" i="25"/>
  <c r="D87" i="25"/>
  <c r="E87" i="25" s="1"/>
  <c r="C87" i="25"/>
  <c r="T86" i="25"/>
  <c r="Q86" i="25"/>
  <c r="N86" i="25"/>
  <c r="K86" i="25"/>
  <c r="H86" i="25"/>
  <c r="D86" i="25"/>
  <c r="C86" i="25"/>
  <c r="E86" i="25" s="1"/>
  <c r="S85" i="25"/>
  <c r="R85" i="25"/>
  <c r="T85" i="25" s="1"/>
  <c r="P85" i="25"/>
  <c r="P84" i="25" s="1"/>
  <c r="O85" i="25"/>
  <c r="M85" i="25"/>
  <c r="L85" i="25"/>
  <c r="N85" i="25" s="1"/>
  <c r="J85" i="25"/>
  <c r="D85" i="25" s="1"/>
  <c r="I85" i="25"/>
  <c r="K85" i="25" s="1"/>
  <c r="G85" i="25"/>
  <c r="F85" i="25"/>
  <c r="H85" i="25" s="1"/>
  <c r="S84" i="25"/>
  <c r="M84" i="25"/>
  <c r="L84" i="25"/>
  <c r="N84" i="25" s="1"/>
  <c r="I84" i="25"/>
  <c r="K84" i="25" s="1"/>
  <c r="T83" i="25"/>
  <c r="Q83" i="25"/>
  <c r="N83" i="25"/>
  <c r="K83" i="25"/>
  <c r="H83" i="25"/>
  <c r="D83" i="25"/>
  <c r="C83" i="25"/>
  <c r="S82" i="25"/>
  <c r="R82" i="25"/>
  <c r="T82" i="25" s="1"/>
  <c r="Q82" i="25"/>
  <c r="P82" i="25"/>
  <c r="O82" i="25"/>
  <c r="M82" i="25"/>
  <c r="N82" i="25" s="1"/>
  <c r="L82" i="25"/>
  <c r="J82" i="25"/>
  <c r="I82" i="25"/>
  <c r="K82" i="25" s="1"/>
  <c r="G82" i="25"/>
  <c r="F82" i="25"/>
  <c r="H82" i="25" s="1"/>
  <c r="T81" i="25"/>
  <c r="Q81" i="25"/>
  <c r="N81" i="25"/>
  <c r="K81" i="25"/>
  <c r="H81" i="25"/>
  <c r="D81" i="25"/>
  <c r="E81" i="25" s="1"/>
  <c r="C81" i="25"/>
  <c r="S80" i="25"/>
  <c r="R80" i="25"/>
  <c r="T80" i="25" s="1"/>
  <c r="P80" i="25"/>
  <c r="O80" i="25"/>
  <c r="Q80" i="25" s="1"/>
  <c r="M80" i="25"/>
  <c r="L80" i="25"/>
  <c r="N80" i="25" s="1"/>
  <c r="J80" i="25"/>
  <c r="I80" i="25"/>
  <c r="K80" i="25" s="1"/>
  <c r="H80" i="25"/>
  <c r="G80" i="25"/>
  <c r="F80" i="25"/>
  <c r="D80" i="25"/>
  <c r="T79" i="25"/>
  <c r="Q79" i="25"/>
  <c r="N79" i="25"/>
  <c r="K79" i="25"/>
  <c r="H79" i="25"/>
  <c r="D79" i="25"/>
  <c r="C79" i="25"/>
  <c r="E79" i="25" s="1"/>
  <c r="S78" i="25"/>
  <c r="R78" i="25"/>
  <c r="P78" i="25"/>
  <c r="O78" i="25"/>
  <c r="Q78" i="25" s="1"/>
  <c r="N78" i="25"/>
  <c r="M78" i="25"/>
  <c r="L78" i="25"/>
  <c r="J78" i="25"/>
  <c r="I78" i="25"/>
  <c r="K78" i="25" s="1"/>
  <c r="G78" i="25"/>
  <c r="F78" i="25"/>
  <c r="H78" i="25" s="1"/>
  <c r="T77" i="25"/>
  <c r="Q77" i="25"/>
  <c r="N77" i="25"/>
  <c r="K77" i="25"/>
  <c r="H77" i="25"/>
  <c r="E77" i="25"/>
  <c r="D77" i="25"/>
  <c r="C77" i="25"/>
  <c r="T76" i="25"/>
  <c r="S76" i="25"/>
  <c r="R76" i="25"/>
  <c r="P76" i="25"/>
  <c r="O76" i="25"/>
  <c r="Q76" i="25" s="1"/>
  <c r="M76" i="25"/>
  <c r="M70" i="25" s="1"/>
  <c r="L76" i="25"/>
  <c r="J76" i="25"/>
  <c r="I76" i="25"/>
  <c r="G76" i="25"/>
  <c r="F76" i="25"/>
  <c r="H76" i="25" s="1"/>
  <c r="D76" i="25"/>
  <c r="T75" i="25"/>
  <c r="Q75" i="25"/>
  <c r="N75" i="25"/>
  <c r="K75" i="25"/>
  <c r="H75" i="25"/>
  <c r="D75" i="25"/>
  <c r="C75" i="25"/>
  <c r="E75" i="25" s="1"/>
  <c r="S74" i="25"/>
  <c r="R74" i="25"/>
  <c r="T74" i="25" s="1"/>
  <c r="P74" i="25"/>
  <c r="O74" i="25"/>
  <c r="Q74" i="25" s="1"/>
  <c r="M74" i="25"/>
  <c r="L74" i="25"/>
  <c r="N74" i="25" s="1"/>
  <c r="J74" i="25"/>
  <c r="I74" i="25"/>
  <c r="K74" i="25" s="1"/>
  <c r="G74" i="25"/>
  <c r="F74" i="25"/>
  <c r="H74" i="25" s="1"/>
  <c r="T73" i="25"/>
  <c r="Q73" i="25"/>
  <c r="N73" i="25"/>
  <c r="K73" i="25"/>
  <c r="H73" i="25"/>
  <c r="D73" i="25"/>
  <c r="C73" i="25"/>
  <c r="E73" i="25" s="1"/>
  <c r="T72" i="25"/>
  <c r="Q72" i="25"/>
  <c r="N72" i="25"/>
  <c r="K72" i="25"/>
  <c r="H72" i="25"/>
  <c r="D72" i="25"/>
  <c r="C72" i="25"/>
  <c r="E72" i="25" s="1"/>
  <c r="T71" i="25"/>
  <c r="S71" i="25"/>
  <c r="R71" i="25"/>
  <c r="P71" i="25"/>
  <c r="P70" i="25" s="1"/>
  <c r="O71" i="25"/>
  <c r="Q71" i="25" s="1"/>
  <c r="M71" i="25"/>
  <c r="L71" i="25"/>
  <c r="K71" i="25"/>
  <c r="J71" i="25"/>
  <c r="I71" i="25"/>
  <c r="G71" i="25"/>
  <c r="F71" i="25"/>
  <c r="J70" i="25"/>
  <c r="T69" i="25"/>
  <c r="Q69" i="25"/>
  <c r="N69" i="25"/>
  <c r="K69" i="25"/>
  <c r="H69" i="25"/>
  <c r="E69" i="25"/>
  <c r="D69" i="25"/>
  <c r="C69" i="25"/>
  <c r="T68" i="25"/>
  <c r="Q68" i="25"/>
  <c r="N68" i="25"/>
  <c r="K68" i="25"/>
  <c r="H68" i="25"/>
  <c r="E68" i="25"/>
  <c r="D68" i="25"/>
  <c r="C68" i="25"/>
  <c r="T67" i="25"/>
  <c r="S67" i="25"/>
  <c r="R67" i="25"/>
  <c r="P67" i="25"/>
  <c r="O67" i="25"/>
  <c r="Q67" i="25" s="1"/>
  <c r="M67" i="25"/>
  <c r="M62" i="25" s="1"/>
  <c r="L67" i="25"/>
  <c r="N67" i="25" s="1"/>
  <c r="J67" i="25"/>
  <c r="I67" i="25"/>
  <c r="G67" i="25"/>
  <c r="F67" i="25"/>
  <c r="H67" i="25" s="1"/>
  <c r="D67" i="25"/>
  <c r="T66" i="25"/>
  <c r="Q66" i="25"/>
  <c r="N66" i="25"/>
  <c r="K66" i="25"/>
  <c r="H66" i="25"/>
  <c r="D66" i="25"/>
  <c r="C66" i="25"/>
  <c r="E66" i="25" s="1"/>
  <c r="S65" i="25"/>
  <c r="R65" i="25"/>
  <c r="T65" i="25" s="1"/>
  <c r="P65" i="25"/>
  <c r="O65" i="25"/>
  <c r="Q65" i="25" s="1"/>
  <c r="M65" i="25"/>
  <c r="L65" i="25"/>
  <c r="N65" i="25" s="1"/>
  <c r="J65" i="25"/>
  <c r="I65" i="25"/>
  <c r="K65" i="25" s="1"/>
  <c r="G65" i="25"/>
  <c r="F65" i="25"/>
  <c r="H65" i="25" s="1"/>
  <c r="T64" i="25"/>
  <c r="Q64" i="25"/>
  <c r="N64" i="25"/>
  <c r="K64" i="25"/>
  <c r="H64" i="25"/>
  <c r="D64" i="25"/>
  <c r="C64" i="25"/>
  <c r="E64" i="25" s="1"/>
  <c r="T63" i="25"/>
  <c r="S63" i="25"/>
  <c r="R63" i="25"/>
  <c r="P63" i="25"/>
  <c r="P62" i="25" s="1"/>
  <c r="O63" i="25"/>
  <c r="Q63" i="25" s="1"/>
  <c r="M63" i="25"/>
  <c r="L63" i="25"/>
  <c r="N63" i="25" s="1"/>
  <c r="K63" i="25"/>
  <c r="J63" i="25"/>
  <c r="J62" i="25" s="1"/>
  <c r="I63" i="25"/>
  <c r="G63" i="25"/>
  <c r="G62" i="25" s="1"/>
  <c r="F63" i="25"/>
  <c r="R62" i="25"/>
  <c r="T62" i="25" s="1"/>
  <c r="T61" i="25"/>
  <c r="Q61" i="25"/>
  <c r="N61" i="25"/>
  <c r="K61" i="25"/>
  <c r="H61" i="25"/>
  <c r="E61" i="25"/>
  <c r="D61" i="25"/>
  <c r="C61" i="25"/>
  <c r="T60" i="25"/>
  <c r="Q60" i="25"/>
  <c r="N60" i="25"/>
  <c r="K60" i="25"/>
  <c r="H60" i="25"/>
  <c r="E60" i="25"/>
  <c r="D60" i="25"/>
  <c r="C60" i="25"/>
  <c r="T59" i="25"/>
  <c r="Q59" i="25"/>
  <c r="N59" i="25"/>
  <c r="K59" i="25"/>
  <c r="H59" i="25"/>
  <c r="E59" i="25"/>
  <c r="D59" i="25"/>
  <c r="C59" i="25"/>
  <c r="T58" i="25"/>
  <c r="Q58" i="25"/>
  <c r="N58" i="25"/>
  <c r="K58" i="25"/>
  <c r="H58" i="25"/>
  <c r="E58" i="25"/>
  <c r="D58" i="25"/>
  <c r="C58" i="25"/>
  <c r="T57" i="25"/>
  <c r="S57" i="25"/>
  <c r="R57" i="25"/>
  <c r="P57" i="25"/>
  <c r="O57" i="25"/>
  <c r="Q57" i="25" s="1"/>
  <c r="M57" i="25"/>
  <c r="D57" i="25" s="1"/>
  <c r="L57" i="25"/>
  <c r="J57" i="25"/>
  <c r="I57" i="25"/>
  <c r="K57" i="25" s="1"/>
  <c r="G57" i="25"/>
  <c r="F57" i="25"/>
  <c r="H57" i="25" s="1"/>
  <c r="T56" i="25"/>
  <c r="Q56" i="25"/>
  <c r="N56" i="25"/>
  <c r="K56" i="25"/>
  <c r="H56" i="25"/>
  <c r="D56" i="25"/>
  <c r="C56" i="25"/>
  <c r="E56" i="25" s="1"/>
  <c r="T55" i="25"/>
  <c r="Q55" i="25"/>
  <c r="N55" i="25"/>
  <c r="K55" i="25"/>
  <c r="H55" i="25"/>
  <c r="D55" i="25"/>
  <c r="C55" i="25"/>
  <c r="E55" i="25" s="1"/>
  <c r="S54" i="25"/>
  <c r="R54" i="25"/>
  <c r="P54" i="25"/>
  <c r="O54" i="25"/>
  <c r="Q54" i="25" s="1"/>
  <c r="N54" i="25"/>
  <c r="M54" i="25"/>
  <c r="L54" i="25"/>
  <c r="J54" i="25"/>
  <c r="I54" i="25"/>
  <c r="K54" i="25" s="1"/>
  <c r="G54" i="25"/>
  <c r="F54" i="25"/>
  <c r="H54" i="25" s="1"/>
  <c r="T53" i="25"/>
  <c r="Q53" i="25"/>
  <c r="N53" i="25"/>
  <c r="K53" i="25"/>
  <c r="H53" i="25"/>
  <c r="E53" i="25"/>
  <c r="D53" i="25"/>
  <c r="C53" i="25"/>
  <c r="T52" i="25"/>
  <c r="S52" i="25"/>
  <c r="S51" i="25" s="1"/>
  <c r="R52" i="25"/>
  <c r="P52" i="25"/>
  <c r="P51" i="25" s="1"/>
  <c r="O52" i="25"/>
  <c r="Q52" i="25" s="1"/>
  <c r="M52" i="25"/>
  <c r="M51" i="25" s="1"/>
  <c r="L52" i="25"/>
  <c r="N52" i="25" s="1"/>
  <c r="J52" i="25"/>
  <c r="I52" i="25"/>
  <c r="K52" i="25" s="1"/>
  <c r="G52" i="25"/>
  <c r="G51" i="25" s="1"/>
  <c r="F52" i="25"/>
  <c r="H52" i="25" s="1"/>
  <c r="J51" i="25"/>
  <c r="I51" i="25"/>
  <c r="K51" i="25" s="1"/>
  <c r="T50" i="25"/>
  <c r="Q50" i="25"/>
  <c r="N50" i="25"/>
  <c r="K50" i="25"/>
  <c r="H50" i="25"/>
  <c r="D50" i="25"/>
  <c r="E50" i="25" s="1"/>
  <c r="C50" i="25"/>
  <c r="S49" i="25"/>
  <c r="S48" i="25" s="1"/>
  <c r="R49" i="25"/>
  <c r="T49" i="25" s="1"/>
  <c r="P49" i="25"/>
  <c r="P48" i="25" s="1"/>
  <c r="O49" i="25"/>
  <c r="Q49" i="25" s="1"/>
  <c r="M49" i="25"/>
  <c r="M48" i="25" s="1"/>
  <c r="L49" i="25"/>
  <c r="N49" i="25" s="1"/>
  <c r="J49" i="25"/>
  <c r="I49" i="25"/>
  <c r="K49" i="25" s="1"/>
  <c r="H49" i="25"/>
  <c r="G49" i="25"/>
  <c r="G48" i="25" s="1"/>
  <c r="F49" i="25"/>
  <c r="D49" i="25"/>
  <c r="R48" i="25"/>
  <c r="T48" i="25" s="1"/>
  <c r="J48" i="25"/>
  <c r="I48" i="25"/>
  <c r="K48" i="25" s="1"/>
  <c r="F48" i="25"/>
  <c r="T47" i="25"/>
  <c r="Q47" i="25"/>
  <c r="N47" i="25"/>
  <c r="K47" i="25"/>
  <c r="H47" i="25"/>
  <c r="D47" i="25"/>
  <c r="C47" i="25"/>
  <c r="E47" i="25" s="1"/>
  <c r="S46" i="25"/>
  <c r="R46" i="25"/>
  <c r="T46" i="25" s="1"/>
  <c r="P46" i="25"/>
  <c r="O46" i="25"/>
  <c r="Q46" i="25" s="1"/>
  <c r="M46" i="25"/>
  <c r="L46" i="25"/>
  <c r="K46" i="25"/>
  <c r="J46" i="25"/>
  <c r="I46" i="25"/>
  <c r="H46" i="25"/>
  <c r="G46" i="25"/>
  <c r="D46" i="25" s="1"/>
  <c r="F46" i="25"/>
  <c r="T45" i="25"/>
  <c r="Q45" i="25"/>
  <c r="N45" i="25"/>
  <c r="K45" i="25"/>
  <c r="H45" i="25"/>
  <c r="D45" i="25"/>
  <c r="C45" i="25"/>
  <c r="S44" i="25"/>
  <c r="R44" i="25"/>
  <c r="T44" i="25" s="1"/>
  <c r="Q44" i="25"/>
  <c r="P44" i="25"/>
  <c r="O44" i="25"/>
  <c r="N44" i="25"/>
  <c r="M44" i="25"/>
  <c r="M41" i="25" s="1"/>
  <c r="L44" i="25"/>
  <c r="J44" i="25"/>
  <c r="I44" i="25"/>
  <c r="K44" i="25" s="1"/>
  <c r="G44" i="25"/>
  <c r="F44" i="25"/>
  <c r="T43" i="25"/>
  <c r="Q43" i="25"/>
  <c r="N43" i="25"/>
  <c r="K43" i="25"/>
  <c r="H43" i="25"/>
  <c r="D43" i="25"/>
  <c r="E43" i="25" s="1"/>
  <c r="C43" i="25"/>
  <c r="S42" i="25"/>
  <c r="R42" i="25"/>
  <c r="T42" i="25" s="1"/>
  <c r="P42" i="25"/>
  <c r="O42" i="25"/>
  <c r="Q42" i="25" s="1"/>
  <c r="M42" i="25"/>
  <c r="L42" i="25"/>
  <c r="J42" i="25"/>
  <c r="I42" i="25"/>
  <c r="K42" i="25" s="1"/>
  <c r="H42" i="25"/>
  <c r="G42" i="25"/>
  <c r="F42" i="25"/>
  <c r="S41" i="25"/>
  <c r="R41" i="25"/>
  <c r="J41" i="25"/>
  <c r="F41" i="25"/>
  <c r="H41" i="25" s="1"/>
  <c r="T40" i="25"/>
  <c r="Q40" i="25"/>
  <c r="N40" i="25"/>
  <c r="K40" i="25"/>
  <c r="H40" i="25"/>
  <c r="E40" i="25"/>
  <c r="D40" i="25"/>
  <c r="C40" i="25"/>
  <c r="T39" i="25"/>
  <c r="S39" i="25"/>
  <c r="R39" i="25"/>
  <c r="P39" i="25"/>
  <c r="O39" i="25"/>
  <c r="Q39" i="25" s="1"/>
  <c r="M39" i="25"/>
  <c r="L39" i="25"/>
  <c r="J39" i="25"/>
  <c r="I39" i="25"/>
  <c r="K39" i="25" s="1"/>
  <c r="G39" i="25"/>
  <c r="F39" i="25"/>
  <c r="H39" i="25" s="1"/>
  <c r="D39" i="25"/>
  <c r="T38" i="25"/>
  <c r="Q38" i="25"/>
  <c r="N38" i="25"/>
  <c r="K38" i="25"/>
  <c r="H38" i="25"/>
  <c r="D38" i="25"/>
  <c r="C38" i="25"/>
  <c r="E38" i="25" s="1"/>
  <c r="S37" i="25"/>
  <c r="R37" i="25"/>
  <c r="P37" i="25"/>
  <c r="O37" i="25"/>
  <c r="Q37" i="25" s="1"/>
  <c r="M37" i="25"/>
  <c r="L37" i="25"/>
  <c r="N37" i="25" s="1"/>
  <c r="J37" i="25"/>
  <c r="I37" i="25"/>
  <c r="K37" i="25" s="1"/>
  <c r="G37" i="25"/>
  <c r="F37" i="25"/>
  <c r="H37" i="25" s="1"/>
  <c r="T36" i="25"/>
  <c r="Q36" i="25"/>
  <c r="N36" i="25"/>
  <c r="K36" i="25"/>
  <c r="H36" i="25"/>
  <c r="D36" i="25"/>
  <c r="C36" i="25"/>
  <c r="E36" i="25" s="1"/>
  <c r="T35" i="25"/>
  <c r="S35" i="25"/>
  <c r="R35" i="25"/>
  <c r="P35" i="25"/>
  <c r="O35" i="25"/>
  <c r="Q35" i="25" s="1"/>
  <c r="M35" i="25"/>
  <c r="L35" i="25"/>
  <c r="K35" i="25"/>
  <c r="J35" i="25"/>
  <c r="I35" i="25"/>
  <c r="G35" i="25"/>
  <c r="F35" i="25"/>
  <c r="H35" i="25" s="1"/>
  <c r="T34" i="25"/>
  <c r="Q34" i="25"/>
  <c r="N34" i="25"/>
  <c r="K34" i="25"/>
  <c r="H34" i="25"/>
  <c r="D34" i="25"/>
  <c r="C34" i="25"/>
  <c r="E34" i="25" s="1"/>
  <c r="T33" i="25"/>
  <c r="Q33" i="25"/>
  <c r="N33" i="25"/>
  <c r="K33" i="25"/>
  <c r="H33" i="25"/>
  <c r="D33" i="25"/>
  <c r="C33" i="25"/>
  <c r="E33" i="25" s="1"/>
  <c r="S32" i="25"/>
  <c r="R32" i="25"/>
  <c r="P32" i="25"/>
  <c r="P31" i="25" s="1"/>
  <c r="O32" i="25"/>
  <c r="M32" i="25"/>
  <c r="L32" i="25"/>
  <c r="N32" i="25" s="1"/>
  <c r="J32" i="25"/>
  <c r="D32" i="25" s="1"/>
  <c r="I32" i="25"/>
  <c r="K32" i="25" s="1"/>
  <c r="G32" i="25"/>
  <c r="F32" i="25"/>
  <c r="H32" i="25" s="1"/>
  <c r="S31" i="25"/>
  <c r="L31" i="25"/>
  <c r="G31" i="25"/>
  <c r="T30" i="25"/>
  <c r="Q30" i="25"/>
  <c r="N30" i="25"/>
  <c r="K30" i="25"/>
  <c r="H30" i="25"/>
  <c r="D30" i="25"/>
  <c r="C30" i="25"/>
  <c r="E30" i="25" s="1"/>
  <c r="T29" i="25"/>
  <c r="Q29" i="25"/>
  <c r="N29" i="25"/>
  <c r="K29" i="25"/>
  <c r="H29" i="25"/>
  <c r="D29" i="25"/>
  <c r="C29" i="25"/>
  <c r="E29" i="25" s="1"/>
  <c r="S28" i="25"/>
  <c r="R28" i="25"/>
  <c r="T28" i="25" s="1"/>
  <c r="P28" i="25"/>
  <c r="O28" i="25"/>
  <c r="Q28" i="25" s="1"/>
  <c r="N28" i="25"/>
  <c r="M28" i="25"/>
  <c r="L28" i="25"/>
  <c r="J28" i="25"/>
  <c r="D28" i="25" s="1"/>
  <c r="I28" i="25"/>
  <c r="K28" i="25" s="1"/>
  <c r="G28" i="25"/>
  <c r="F28" i="25"/>
  <c r="H28" i="25" s="1"/>
  <c r="T27" i="25"/>
  <c r="Q27" i="25"/>
  <c r="N27" i="25"/>
  <c r="K27" i="25"/>
  <c r="H27" i="25"/>
  <c r="E27" i="25"/>
  <c r="D27" i="25"/>
  <c r="C27" i="25"/>
  <c r="T26" i="25"/>
  <c r="Q26" i="25"/>
  <c r="N26" i="25"/>
  <c r="K26" i="25"/>
  <c r="H26" i="25"/>
  <c r="E26" i="25"/>
  <c r="D26" i="25"/>
  <c r="C26" i="25"/>
  <c r="S25" i="25"/>
  <c r="T25" i="25" s="1"/>
  <c r="R25" i="25"/>
  <c r="P25" i="25"/>
  <c r="O25" i="25"/>
  <c r="Q25" i="25" s="1"/>
  <c r="M25" i="25"/>
  <c r="D25" i="25" s="1"/>
  <c r="L25" i="25"/>
  <c r="J25" i="25"/>
  <c r="J18" i="25" s="1"/>
  <c r="I25" i="25"/>
  <c r="G25" i="25"/>
  <c r="F25" i="25"/>
  <c r="H25" i="25" s="1"/>
  <c r="T24" i="25"/>
  <c r="Q24" i="25"/>
  <c r="N24" i="25"/>
  <c r="K24" i="25"/>
  <c r="H24" i="25"/>
  <c r="D24" i="25"/>
  <c r="C24" i="25"/>
  <c r="E24" i="25" s="1"/>
  <c r="T23" i="25"/>
  <c r="Q23" i="25"/>
  <c r="N23" i="25"/>
  <c r="K23" i="25"/>
  <c r="H23" i="25"/>
  <c r="D23" i="25"/>
  <c r="C23" i="25"/>
  <c r="T22" i="25"/>
  <c r="Q22" i="25"/>
  <c r="N22" i="25"/>
  <c r="K22" i="25"/>
  <c r="H22" i="25"/>
  <c r="D22" i="25"/>
  <c r="C22" i="25"/>
  <c r="S21" i="25"/>
  <c r="R21" i="25"/>
  <c r="T21" i="25" s="1"/>
  <c r="Q21" i="25"/>
  <c r="P21" i="25"/>
  <c r="O21" i="25"/>
  <c r="N21" i="25"/>
  <c r="M21" i="25"/>
  <c r="L21" i="25"/>
  <c r="J21" i="25"/>
  <c r="I21" i="25"/>
  <c r="K21" i="25" s="1"/>
  <c r="G21" i="25"/>
  <c r="F21" i="25"/>
  <c r="T20" i="25"/>
  <c r="Q20" i="25"/>
  <c r="N20" i="25"/>
  <c r="K20" i="25"/>
  <c r="H20" i="25"/>
  <c r="D20" i="25"/>
  <c r="E20" i="25" s="1"/>
  <c r="C20" i="25"/>
  <c r="S19" i="25"/>
  <c r="R19" i="25"/>
  <c r="T19" i="25" s="1"/>
  <c r="P19" i="25"/>
  <c r="P18" i="25" s="1"/>
  <c r="O19" i="25"/>
  <c r="Q19" i="25" s="1"/>
  <c r="M19" i="25"/>
  <c r="L19" i="25"/>
  <c r="N19" i="25" s="1"/>
  <c r="J19" i="25"/>
  <c r="I19" i="25"/>
  <c r="K19" i="25" s="1"/>
  <c r="H19" i="25"/>
  <c r="G19" i="25"/>
  <c r="F19" i="25"/>
  <c r="D19" i="25"/>
  <c r="F18" i="25"/>
  <c r="S16" i="25"/>
  <c r="R16" i="25"/>
  <c r="T16" i="25" s="1"/>
  <c r="Q16" i="25" s="1"/>
  <c r="N16" i="25" s="1"/>
  <c r="K16" i="25" s="1"/>
  <c r="H16" i="25" s="1"/>
  <c r="E16" i="25" s="1"/>
  <c r="P16" i="25"/>
  <c r="M16" i="25" s="1"/>
  <c r="J16" i="25" s="1"/>
  <c r="G16" i="25" s="1"/>
  <c r="D16" i="25" s="1"/>
  <c r="S15" i="25"/>
  <c r="P15" i="25" s="1"/>
  <c r="M15" i="25" s="1"/>
  <c r="J15" i="25" s="1"/>
  <c r="G15" i="25" s="1"/>
  <c r="D15" i="25" s="1"/>
  <c r="R15" i="25"/>
  <c r="T15" i="25" s="1"/>
  <c r="Q15" i="25" s="1"/>
  <c r="N15" i="25" s="1"/>
  <c r="K15" i="25" s="1"/>
  <c r="H15" i="25" s="1"/>
  <c r="E15" i="25" s="1"/>
  <c r="T14" i="25"/>
  <c r="Q14" i="25" s="1"/>
  <c r="N14" i="25" s="1"/>
  <c r="K14" i="25" s="1"/>
  <c r="H14" i="25" s="1"/>
  <c r="E14" i="25" s="1"/>
  <c r="S14" i="25"/>
  <c r="R14" i="25"/>
  <c r="P14" i="25"/>
  <c r="M14" i="25" s="1"/>
  <c r="J14" i="25" s="1"/>
  <c r="G14" i="25" s="1"/>
  <c r="D14" i="25" s="1"/>
  <c r="O14" i="25"/>
  <c r="L14" i="25" s="1"/>
  <c r="I14" i="25" s="1"/>
  <c r="F14" i="25" s="1"/>
  <c r="C14" i="25" s="1"/>
  <c r="S13" i="25"/>
  <c r="R13" i="25"/>
  <c r="T13" i="25" s="1"/>
  <c r="Q13" i="25" s="1"/>
  <c r="N13" i="25" s="1"/>
  <c r="K13" i="25" s="1"/>
  <c r="H13" i="25" s="1"/>
  <c r="E13" i="25" s="1"/>
  <c r="P13" i="25"/>
  <c r="M13" i="25" s="1"/>
  <c r="J13" i="25" s="1"/>
  <c r="G13" i="25" s="1"/>
  <c r="D13" i="25" s="1"/>
  <c r="T12" i="25"/>
  <c r="Q12" i="25" s="1"/>
  <c r="N12" i="25" s="1"/>
  <c r="K12" i="25" s="1"/>
  <c r="H12" i="25" s="1"/>
  <c r="E12" i="25" s="1"/>
  <c r="S12" i="25"/>
  <c r="P12" i="25" s="1"/>
  <c r="M12" i="25" s="1"/>
  <c r="J12" i="25" s="1"/>
  <c r="G12" i="25" s="1"/>
  <c r="D12" i="25" s="1"/>
  <c r="R12" i="25"/>
  <c r="O12" i="25"/>
  <c r="L12" i="25"/>
  <c r="I12" i="25" s="1"/>
  <c r="F12" i="25" s="1"/>
  <c r="C12" i="25" s="1"/>
  <c r="S11" i="25"/>
  <c r="R11" i="25"/>
  <c r="T11" i="25" s="1"/>
  <c r="Q11" i="25" s="1"/>
  <c r="N11" i="25" s="1"/>
  <c r="K11" i="25" s="1"/>
  <c r="H11" i="25" s="1"/>
  <c r="E11" i="25" s="1"/>
  <c r="P11" i="25"/>
  <c r="M11" i="25"/>
  <c r="J11" i="25" s="1"/>
  <c r="G11" i="25" s="1"/>
  <c r="D11" i="25" s="1"/>
  <c r="S10" i="25"/>
  <c r="S9" i="25" s="1"/>
  <c r="R10" i="25"/>
  <c r="R9" i="25" s="1"/>
  <c r="I62" i="25" l="1"/>
  <c r="K62" i="25" s="1"/>
  <c r="K67" i="25"/>
  <c r="Q32" i="25"/>
  <c r="O31" i="25"/>
  <c r="Q31" i="25" s="1"/>
  <c r="D37" i="25"/>
  <c r="T54" i="25"/>
  <c r="R51" i="25"/>
  <c r="T51" i="25" s="1"/>
  <c r="D65" i="25"/>
  <c r="R90" i="25"/>
  <c r="T90" i="25" s="1"/>
  <c r="T10" i="25"/>
  <c r="Q10" i="25" s="1"/>
  <c r="N10" i="25" s="1"/>
  <c r="K10" i="25" s="1"/>
  <c r="H10" i="25" s="1"/>
  <c r="E10" i="25" s="1"/>
  <c r="O10" i="25"/>
  <c r="I70" i="25"/>
  <c r="K70" i="25" s="1"/>
  <c r="K76" i="25"/>
  <c r="H94" i="25"/>
  <c r="F90" i="25"/>
  <c r="N94" i="25"/>
  <c r="L90" i="25"/>
  <c r="N90" i="25" s="1"/>
  <c r="R18" i="25"/>
  <c r="T18" i="25" s="1"/>
  <c r="M18" i="25"/>
  <c r="K25" i="25"/>
  <c r="I18" i="25"/>
  <c r="K18" i="25" s="1"/>
  <c r="H63" i="25"/>
  <c r="F62" i="25"/>
  <c r="D88" i="25"/>
  <c r="G84" i="25"/>
  <c r="G90" i="25"/>
  <c r="D90" i="25" s="1"/>
  <c r="D91" i="25"/>
  <c r="D101" i="25"/>
  <c r="D35" i="25"/>
  <c r="N42" i="25"/>
  <c r="L41" i="25"/>
  <c r="N41" i="25" s="1"/>
  <c r="D52" i="25"/>
  <c r="H71" i="25"/>
  <c r="F70" i="25"/>
  <c r="H70" i="25" s="1"/>
  <c r="T78" i="25"/>
  <c r="R70" i="25"/>
  <c r="T70" i="25" s="1"/>
  <c r="Q85" i="25"/>
  <c r="O84" i="25"/>
  <c r="Q84" i="25" s="1"/>
  <c r="N31" i="25"/>
  <c r="D21" i="25"/>
  <c r="E23" i="25"/>
  <c r="M31" i="25"/>
  <c r="N35" i="25"/>
  <c r="D51" i="25"/>
  <c r="N71" i="25"/>
  <c r="D74" i="25"/>
  <c r="D82" i="25"/>
  <c r="O90" i="25"/>
  <c r="Q90" i="25" s="1"/>
  <c r="E95" i="25"/>
  <c r="C96" i="25"/>
  <c r="E96" i="25" s="1"/>
  <c r="H98" i="25"/>
  <c r="S18" i="25"/>
  <c r="S103" i="25" s="1"/>
  <c r="D62" i="25"/>
  <c r="G70" i="25"/>
  <c r="P10" i="25"/>
  <c r="P9" i="25" s="1"/>
  <c r="O16" i="25"/>
  <c r="L16" i="25" s="1"/>
  <c r="I16" i="25" s="1"/>
  <c r="F16" i="25" s="1"/>
  <c r="C16" i="25" s="1"/>
  <c r="G18" i="25"/>
  <c r="D18" i="25" s="1"/>
  <c r="H21" i="25"/>
  <c r="E22" i="25"/>
  <c r="N25" i="25"/>
  <c r="T32" i="25"/>
  <c r="T37" i="25"/>
  <c r="N39" i="25"/>
  <c r="I41" i="25"/>
  <c r="K41" i="25" s="1"/>
  <c r="D42" i="25"/>
  <c r="E45" i="25"/>
  <c r="F51" i="25"/>
  <c r="H51" i="25" s="1"/>
  <c r="D54" i="25"/>
  <c r="N57" i="25"/>
  <c r="D63" i="25"/>
  <c r="S62" i="25"/>
  <c r="D71" i="25"/>
  <c r="S70" i="25"/>
  <c r="N76" i="25"/>
  <c r="D78" i="25"/>
  <c r="E83" i="25"/>
  <c r="E89" i="25"/>
  <c r="H91" i="25"/>
  <c r="N91" i="25"/>
  <c r="D94" i="25"/>
  <c r="N96" i="25"/>
  <c r="E97" i="25"/>
  <c r="D98" i="25"/>
  <c r="C19" i="25"/>
  <c r="E19" i="25" s="1"/>
  <c r="C25" i="25"/>
  <c r="E25" i="25" s="1"/>
  <c r="C35" i="25"/>
  <c r="C39" i="25"/>
  <c r="E39" i="25" s="1"/>
  <c r="T41" i="25"/>
  <c r="N46" i="25"/>
  <c r="C46" i="25"/>
  <c r="E46" i="25" s="1"/>
  <c r="M10" i="25"/>
  <c r="O11" i="25"/>
  <c r="L11" i="25" s="1"/>
  <c r="I11" i="25" s="1"/>
  <c r="F11" i="25" s="1"/>
  <c r="C11" i="25" s="1"/>
  <c r="O13" i="25"/>
  <c r="L13" i="25" s="1"/>
  <c r="I13" i="25" s="1"/>
  <c r="F13" i="25" s="1"/>
  <c r="C13" i="25" s="1"/>
  <c r="O15" i="25"/>
  <c r="L15" i="25" s="1"/>
  <c r="I15" i="25" s="1"/>
  <c r="F15" i="25" s="1"/>
  <c r="C15" i="25" s="1"/>
  <c r="O18" i="25"/>
  <c r="Q18" i="25" s="1"/>
  <c r="C21" i="25"/>
  <c r="E21" i="25" s="1"/>
  <c r="C28" i="25"/>
  <c r="E28" i="25" s="1"/>
  <c r="I31" i="25"/>
  <c r="K31" i="25" s="1"/>
  <c r="C32" i="25"/>
  <c r="E32" i="25" s="1"/>
  <c r="C37" i="25"/>
  <c r="E37" i="25" s="1"/>
  <c r="G41" i="25"/>
  <c r="O41" i="25"/>
  <c r="C42" i="25"/>
  <c r="H44" i="25"/>
  <c r="C44" i="25"/>
  <c r="H62" i="25"/>
  <c r="T9" i="25"/>
  <c r="L18" i="25"/>
  <c r="N18" i="25" s="1"/>
  <c r="F31" i="25"/>
  <c r="J31" i="25"/>
  <c r="D31" i="25" s="1"/>
  <c r="R31" i="25"/>
  <c r="T31" i="25" s="1"/>
  <c r="D44" i="25"/>
  <c r="P41" i="25"/>
  <c r="P103" i="25" s="1"/>
  <c r="H48" i="25"/>
  <c r="D48" i="25"/>
  <c r="C49" i="25"/>
  <c r="E49" i="25" s="1"/>
  <c r="C52" i="25"/>
  <c r="E52" i="25" s="1"/>
  <c r="C57" i="25"/>
  <c r="E57" i="25" s="1"/>
  <c r="C63" i="25"/>
  <c r="E63" i="25" s="1"/>
  <c r="C67" i="25"/>
  <c r="E67" i="25" s="1"/>
  <c r="C71" i="25"/>
  <c r="E71" i="25" s="1"/>
  <c r="C76" i="25"/>
  <c r="E76" i="25" s="1"/>
  <c r="C80" i="25"/>
  <c r="E80" i="25" s="1"/>
  <c r="C88" i="25"/>
  <c r="E88" i="25" s="1"/>
  <c r="I90" i="25"/>
  <c r="K90" i="25" s="1"/>
  <c r="C91" i="25"/>
  <c r="E91" i="25" s="1"/>
  <c r="C101" i="25"/>
  <c r="E101" i="25" s="1"/>
  <c r="O48" i="25"/>
  <c r="Q48" i="25" s="1"/>
  <c r="O51" i="25"/>
  <c r="Q51" i="25" s="1"/>
  <c r="C54" i="25"/>
  <c r="E54" i="25" s="1"/>
  <c r="O62" i="25"/>
  <c r="Q62" i="25" s="1"/>
  <c r="C65" i="25"/>
  <c r="E65" i="25" s="1"/>
  <c r="O70" i="25"/>
  <c r="Q70" i="25" s="1"/>
  <c r="C74" i="25"/>
  <c r="E74" i="25" s="1"/>
  <c r="C78" i="25"/>
  <c r="E78" i="25" s="1"/>
  <c r="C82" i="25"/>
  <c r="E82" i="25" s="1"/>
  <c r="C85" i="25"/>
  <c r="E85" i="25" s="1"/>
  <c r="C90" i="25"/>
  <c r="C94" i="25"/>
  <c r="C98" i="25"/>
  <c r="E98" i="25" s="1"/>
  <c r="L48" i="25"/>
  <c r="N48" i="25" s="1"/>
  <c r="L51" i="25"/>
  <c r="N51" i="25" s="1"/>
  <c r="L62" i="25"/>
  <c r="N62" i="25" s="1"/>
  <c r="L70" i="25"/>
  <c r="N70" i="25" s="1"/>
  <c r="F84" i="25"/>
  <c r="J84" i="25"/>
  <c r="D84" i="25" s="1"/>
  <c r="R84" i="25"/>
  <c r="T84" i="25" s="1"/>
  <c r="E94" i="25" l="1"/>
  <c r="E35" i="25"/>
  <c r="D70" i="25"/>
  <c r="H90" i="25"/>
  <c r="H18" i="25"/>
  <c r="E42" i="25"/>
  <c r="E90" i="25"/>
  <c r="O9" i="25"/>
  <c r="Q9" i="25" s="1"/>
  <c r="L10" i="25"/>
  <c r="C41" i="25"/>
  <c r="C51" i="25"/>
  <c r="E51" i="25" s="1"/>
  <c r="C48" i="25"/>
  <c r="E48" i="25" s="1"/>
  <c r="E44" i="25"/>
  <c r="D41" i="25"/>
  <c r="E41" i="25" s="1"/>
  <c r="C18" i="25"/>
  <c r="E18" i="25" s="1"/>
  <c r="J10" i="25"/>
  <c r="M9" i="25"/>
  <c r="M103" i="25" s="1"/>
  <c r="O103" i="25"/>
  <c r="Q103" i="25" s="1"/>
  <c r="C62" i="25"/>
  <c r="E62" i="25" s="1"/>
  <c r="R103" i="25"/>
  <c r="T103" i="25" s="1"/>
  <c r="H84" i="25"/>
  <c r="C84" i="25"/>
  <c r="E84" i="25" s="1"/>
  <c r="C70" i="25"/>
  <c r="H31" i="25"/>
  <c r="C31" i="25"/>
  <c r="E31" i="25" s="1"/>
  <c r="Q41" i="25"/>
  <c r="E70" i="25" l="1"/>
  <c r="L9" i="25"/>
  <c r="I10" i="25"/>
  <c r="J9" i="25"/>
  <c r="J103" i="25" s="1"/>
  <c r="G10" i="25"/>
  <c r="F10" i="25" l="1"/>
  <c r="I9" i="25"/>
  <c r="N9" i="25"/>
  <c r="L103" i="25"/>
  <c r="N103" i="25" s="1"/>
  <c r="G9" i="25"/>
  <c r="D10" i="25"/>
  <c r="K9" i="25" l="1"/>
  <c r="I103" i="25"/>
  <c r="K103" i="25" s="1"/>
  <c r="F9" i="25"/>
  <c r="C10" i="25"/>
  <c r="G103" i="25"/>
  <c r="D9" i="25"/>
  <c r="D103" i="25" s="1"/>
  <c r="C9" i="25" l="1"/>
  <c r="F103" i="25"/>
  <c r="H103" i="25" s="1"/>
  <c r="H9" i="25"/>
  <c r="C103" i="25" l="1"/>
  <c r="E103" i="25" s="1"/>
  <c r="E9" i="25"/>
  <c r="AA39" i="24" l="1"/>
  <c r="Z39" i="24"/>
  <c r="Y39" i="24"/>
  <c r="X39" i="24"/>
  <c r="T39" i="24"/>
  <c r="P39" i="24"/>
  <c r="P38" i="24" s="1"/>
  <c r="L39" i="24"/>
  <c r="L38" i="24" s="1"/>
  <c r="H39" i="24"/>
  <c r="D39" i="24"/>
  <c r="Y38" i="24"/>
  <c r="W38" i="24"/>
  <c r="AA38" i="24" s="1"/>
  <c r="V38" i="24"/>
  <c r="Z38" i="24" s="1"/>
  <c r="U38" i="24"/>
  <c r="T38" i="24"/>
  <c r="X38" i="24" s="1"/>
  <c r="S38" i="24"/>
  <c r="R38" i="24"/>
  <c r="Q38" i="24"/>
  <c r="O38" i="24"/>
  <c r="N38" i="24"/>
  <c r="M38" i="24"/>
  <c r="K38" i="24"/>
  <c r="J38" i="24"/>
  <c r="I38" i="24"/>
  <c r="H38" i="24" s="1"/>
  <c r="G38" i="24"/>
  <c r="F38" i="24"/>
  <c r="E38" i="24"/>
  <c r="D38" i="24" s="1"/>
  <c r="AA37" i="24"/>
  <c r="Z37" i="24"/>
  <c r="Y37" i="24"/>
  <c r="T37" i="24"/>
  <c r="X37" i="24" s="1"/>
  <c r="P37" i="24"/>
  <c r="P36" i="24" s="1"/>
  <c r="L37" i="24"/>
  <c r="L36" i="24" s="1"/>
  <c r="H37" i="24"/>
  <c r="D37" i="24"/>
  <c r="W36" i="24"/>
  <c r="AA36" i="24" s="1"/>
  <c r="V36" i="24"/>
  <c r="Z36" i="24" s="1"/>
  <c r="U36" i="24"/>
  <c r="Y36" i="24" s="1"/>
  <c r="T36" i="24"/>
  <c r="X36" i="24" s="1"/>
  <c r="S36" i="24"/>
  <c r="R36" i="24"/>
  <c r="Q36" i="24"/>
  <c r="O36" i="24"/>
  <c r="N36" i="24"/>
  <c r="M36" i="24"/>
  <c r="K36" i="24"/>
  <c r="J36" i="24"/>
  <c r="I36" i="24"/>
  <c r="H36" i="24"/>
  <c r="G36" i="24"/>
  <c r="F36" i="24"/>
  <c r="D36" i="24" s="1"/>
  <c r="E36" i="24"/>
  <c r="AA35" i="24"/>
  <c r="Z35" i="24"/>
  <c r="Y35" i="24"/>
  <c r="T35" i="24"/>
  <c r="P35" i="24"/>
  <c r="P34" i="24" s="1"/>
  <c r="L35" i="24"/>
  <c r="H35" i="24"/>
  <c r="D35" i="24"/>
  <c r="W34" i="24"/>
  <c r="AA34" i="24" s="1"/>
  <c r="V34" i="24"/>
  <c r="Z34" i="24" s="1"/>
  <c r="U34" i="24"/>
  <c r="Y34" i="24" s="1"/>
  <c r="T34" i="24"/>
  <c r="X34" i="24" s="1"/>
  <c r="S34" i="24"/>
  <c r="R34" i="24"/>
  <c r="Q34" i="24"/>
  <c r="O34" i="24"/>
  <c r="N34" i="24"/>
  <c r="M34" i="24"/>
  <c r="L34" i="24"/>
  <c r="K34" i="24"/>
  <c r="H34" i="24" s="1"/>
  <c r="J34" i="24"/>
  <c r="I34" i="24"/>
  <c r="G34" i="24"/>
  <c r="D34" i="24" s="1"/>
  <c r="F34" i="24"/>
  <c r="E34" i="24"/>
  <c r="AA33" i="24"/>
  <c r="Z33" i="24"/>
  <c r="Y33" i="24"/>
  <c r="T33" i="24"/>
  <c r="X33" i="24" s="1"/>
  <c r="P33" i="24"/>
  <c r="L33" i="24"/>
  <c r="H33" i="24"/>
  <c r="D33" i="24"/>
  <c r="W32" i="24"/>
  <c r="AA32" i="24" s="1"/>
  <c r="V32" i="24"/>
  <c r="Z32" i="24" s="1"/>
  <c r="U32" i="24"/>
  <c r="Y32" i="24" s="1"/>
  <c r="S32" i="24"/>
  <c r="R32" i="24"/>
  <c r="Q32" i="24"/>
  <c r="P32" i="24"/>
  <c r="O32" i="24"/>
  <c r="N32" i="24"/>
  <c r="M32" i="24"/>
  <c r="L32" i="24"/>
  <c r="K32" i="24"/>
  <c r="J32" i="24"/>
  <c r="I32" i="24"/>
  <c r="H32" i="24"/>
  <c r="G32" i="24"/>
  <c r="F32" i="24"/>
  <c r="E32" i="24"/>
  <c r="D32" i="24"/>
  <c r="AA31" i="24"/>
  <c r="Z31" i="24"/>
  <c r="Y31" i="24"/>
  <c r="X31" i="24"/>
  <c r="T31" i="24"/>
  <c r="P31" i="24"/>
  <c r="P29" i="24" s="1"/>
  <c r="L31" i="24"/>
  <c r="H31" i="24"/>
  <c r="D31" i="24"/>
  <c r="AA30" i="24"/>
  <c r="Z30" i="24"/>
  <c r="Y30" i="24"/>
  <c r="T30" i="24"/>
  <c r="X30" i="24" s="1"/>
  <c r="P30" i="24"/>
  <c r="L30" i="24"/>
  <c r="D30" i="24"/>
  <c r="W29" i="24"/>
  <c r="AA29" i="24" s="1"/>
  <c r="V29" i="24"/>
  <c r="Z29" i="24" s="1"/>
  <c r="U29" i="24"/>
  <c r="S29" i="24"/>
  <c r="R29" i="24"/>
  <c r="Q29" i="24"/>
  <c r="Y29" i="24" s="1"/>
  <c r="O29" i="24"/>
  <c r="N29" i="24"/>
  <c r="M29" i="24"/>
  <c r="K29" i="24"/>
  <c r="J29" i="24"/>
  <c r="I29" i="24"/>
  <c r="H29" i="24" s="1"/>
  <c r="G29" i="24"/>
  <c r="F29" i="24"/>
  <c r="E29" i="24"/>
  <c r="AA28" i="24"/>
  <c r="Z28" i="24"/>
  <c r="Y28" i="24"/>
  <c r="T28" i="24"/>
  <c r="P28" i="24"/>
  <c r="P27" i="24" s="1"/>
  <c r="L28" i="24"/>
  <c r="L27" i="24" s="1"/>
  <c r="H28" i="24"/>
  <c r="D28" i="24"/>
  <c r="Z27" i="24"/>
  <c r="W27" i="24"/>
  <c r="AA27" i="24" s="1"/>
  <c r="V27" i="24"/>
  <c r="U27" i="24"/>
  <c r="Y27" i="24" s="1"/>
  <c r="T27" i="24"/>
  <c r="X27" i="24" s="1"/>
  <c r="S27" i="24"/>
  <c r="R27" i="24"/>
  <c r="Q27" i="24"/>
  <c r="O27" i="24"/>
  <c r="N27" i="24"/>
  <c r="M27" i="24"/>
  <c r="K27" i="24"/>
  <c r="J27" i="24"/>
  <c r="H27" i="24" s="1"/>
  <c r="I27" i="24"/>
  <c r="G27" i="24"/>
  <c r="F27" i="24"/>
  <c r="D27" i="24" s="1"/>
  <c r="E27" i="24"/>
  <c r="AA26" i="24"/>
  <c r="Z26" i="24"/>
  <c r="Y26" i="24"/>
  <c r="T26" i="24"/>
  <c r="P26" i="24"/>
  <c r="L26" i="24"/>
  <c r="H26" i="24"/>
  <c r="D26" i="24"/>
  <c r="AA25" i="24"/>
  <c r="Z25" i="24"/>
  <c r="Y25" i="24"/>
  <c r="T25" i="24"/>
  <c r="X25" i="24" s="1"/>
  <c r="P25" i="24"/>
  <c r="L25" i="24"/>
  <c r="H25" i="24"/>
  <c r="D25" i="24"/>
  <c r="AA24" i="24"/>
  <c r="Z24" i="24"/>
  <c r="Y24" i="24"/>
  <c r="X24" i="24"/>
  <c r="T24" i="24"/>
  <c r="P24" i="24"/>
  <c r="L24" i="24"/>
  <c r="H24" i="24"/>
  <c r="D24" i="24"/>
  <c r="AA23" i="24"/>
  <c r="Z23" i="24"/>
  <c r="Y23" i="24"/>
  <c r="T23" i="24"/>
  <c r="P23" i="24"/>
  <c r="L23" i="24"/>
  <c r="H23" i="24"/>
  <c r="D23" i="24"/>
  <c r="AA22" i="24"/>
  <c r="Z22" i="24"/>
  <c r="Y22" i="24"/>
  <c r="T22" i="24"/>
  <c r="P22" i="24"/>
  <c r="L22" i="24"/>
  <c r="H22" i="24"/>
  <c r="D22" i="24"/>
  <c r="AA21" i="24"/>
  <c r="Z21" i="24"/>
  <c r="Y21" i="24"/>
  <c r="T21" i="24"/>
  <c r="X21" i="24" s="1"/>
  <c r="P21" i="24"/>
  <c r="L21" i="24"/>
  <c r="H21" i="24"/>
  <c r="D21" i="24"/>
  <c r="W20" i="24"/>
  <c r="AA20" i="24" s="1"/>
  <c r="V20" i="24"/>
  <c r="Z20" i="24" s="1"/>
  <c r="U20" i="24"/>
  <c r="Y20" i="24" s="1"/>
  <c r="T20" i="24"/>
  <c r="X20" i="24" s="1"/>
  <c r="S20" i="24"/>
  <c r="R20" i="24"/>
  <c r="Q20" i="24"/>
  <c r="P20" i="24"/>
  <c r="O20" i="24"/>
  <c r="N20" i="24"/>
  <c r="M20" i="24"/>
  <c r="L20" i="24"/>
  <c r="K20" i="24"/>
  <c r="J20" i="24"/>
  <c r="I20" i="24"/>
  <c r="H20" i="24"/>
  <c r="G20" i="24"/>
  <c r="F20" i="24"/>
  <c r="E20" i="24"/>
  <c r="D20" i="24"/>
  <c r="AA19" i="24"/>
  <c r="Z19" i="24"/>
  <c r="Y19" i="24"/>
  <c r="X19" i="24"/>
  <c r="T19" i="24"/>
  <c r="P19" i="24"/>
  <c r="P18" i="24" s="1"/>
  <c r="L19" i="24"/>
  <c r="L18" i="24" s="1"/>
  <c r="H19" i="24"/>
  <c r="D19" i="24"/>
  <c r="Z18" i="24"/>
  <c r="Y18" i="24"/>
  <c r="W18" i="24"/>
  <c r="AA18" i="24" s="1"/>
  <c r="V18" i="24"/>
  <c r="U18" i="24"/>
  <c r="T18" i="24"/>
  <c r="X18" i="24" s="1"/>
  <c r="S18" i="24"/>
  <c r="R18" i="24"/>
  <c r="Q18" i="24"/>
  <c r="O18" i="24"/>
  <c r="N18" i="24"/>
  <c r="M18" i="24"/>
  <c r="K18" i="24"/>
  <c r="J18" i="24"/>
  <c r="I18" i="24"/>
  <c r="H18" i="24" s="1"/>
  <c r="G18" i="24"/>
  <c r="F18" i="24"/>
  <c r="E18" i="24"/>
  <c r="D18" i="24" s="1"/>
  <c r="AA17" i="24"/>
  <c r="Z17" i="24"/>
  <c r="Y17" i="24"/>
  <c r="T17" i="24"/>
  <c r="P17" i="24"/>
  <c r="L17" i="24"/>
  <c r="H17" i="24"/>
  <c r="D17" i="24"/>
  <c r="AA16" i="24"/>
  <c r="Z16" i="24"/>
  <c r="Y16" i="24"/>
  <c r="T16" i="24"/>
  <c r="P16" i="24"/>
  <c r="L16" i="24"/>
  <c r="H16" i="24"/>
  <c r="D16" i="24"/>
  <c r="AA15" i="24"/>
  <c r="Z15" i="24"/>
  <c r="Y15" i="24"/>
  <c r="T15" i="24"/>
  <c r="X15" i="24" s="1"/>
  <c r="P15" i="24"/>
  <c r="L15" i="24"/>
  <c r="H15" i="24"/>
  <c r="D15" i="24"/>
  <c r="AA14" i="24"/>
  <c r="Z14" i="24"/>
  <c r="Y14" i="24"/>
  <c r="X14" i="24"/>
  <c r="T14" i="24"/>
  <c r="P14" i="24"/>
  <c r="L14" i="24"/>
  <c r="H14" i="24"/>
  <c r="D14" i="24"/>
  <c r="Z13" i="24"/>
  <c r="Y13" i="24"/>
  <c r="T13" i="24"/>
  <c r="X13" i="24" s="1"/>
  <c r="S13" i="24"/>
  <c r="P13" i="24"/>
  <c r="L13" i="24"/>
  <c r="H13" i="24"/>
  <c r="D13" i="24"/>
  <c r="AA12" i="24"/>
  <c r="T12" i="24"/>
  <c r="X12" i="24" s="1"/>
  <c r="S12" i="24"/>
  <c r="R12" i="24"/>
  <c r="Z12" i="24" s="1"/>
  <c r="Q12" i="24"/>
  <c r="Y12" i="24" s="1"/>
  <c r="P12" i="24"/>
  <c r="L12" i="24"/>
  <c r="H12" i="24"/>
  <c r="D12" i="24"/>
  <c r="AA11" i="24"/>
  <c r="Z11" i="24"/>
  <c r="Y11" i="24"/>
  <c r="T11" i="24"/>
  <c r="T10" i="24" s="1"/>
  <c r="Q11" i="24"/>
  <c r="P11" i="24"/>
  <c r="L11" i="24"/>
  <c r="L10" i="24" s="1"/>
  <c r="H11" i="24"/>
  <c r="D11" i="24"/>
  <c r="W10" i="24"/>
  <c r="W40" i="24" s="1"/>
  <c r="V10" i="24"/>
  <c r="U10" i="24"/>
  <c r="R10" i="24"/>
  <c r="R40" i="24" s="1"/>
  <c r="Q10" i="24"/>
  <c r="Q40" i="24" s="1"/>
  <c r="O10" i="24"/>
  <c r="N10" i="24"/>
  <c r="M10" i="24"/>
  <c r="M40" i="24" s="1"/>
  <c r="K10" i="24"/>
  <c r="K40" i="24" s="1"/>
  <c r="J10" i="24"/>
  <c r="I10" i="24"/>
  <c r="G10" i="24"/>
  <c r="G40" i="24" s="1"/>
  <c r="F10" i="24"/>
  <c r="F40" i="24" s="1"/>
  <c r="E10" i="24"/>
  <c r="L40" i="24" l="1"/>
  <c r="L29" i="24"/>
  <c r="Y10" i="24"/>
  <c r="X11" i="24"/>
  <c r="X16" i="24"/>
  <c r="X17" i="24"/>
  <c r="X26" i="24"/>
  <c r="H10" i="24"/>
  <c r="H40" i="24" s="1"/>
  <c r="I40" i="24"/>
  <c r="N40" i="24"/>
  <c r="U40" i="24"/>
  <c r="Y40" i="24" s="1"/>
  <c r="Z10" i="24"/>
  <c r="P10" i="24"/>
  <c r="P40" i="24" s="1"/>
  <c r="X35" i="24"/>
  <c r="D10" i="24"/>
  <c r="E40" i="24"/>
  <c r="J40" i="24"/>
  <c r="O40" i="24"/>
  <c r="V40" i="24"/>
  <c r="Z40" i="24" s="1"/>
  <c r="AA13" i="24"/>
  <c r="S10" i="24"/>
  <c r="S40" i="24" s="1"/>
  <c r="AA40" i="24" s="1"/>
  <c r="X22" i="24"/>
  <c r="X23" i="24"/>
  <c r="X28" i="24"/>
  <c r="D29" i="24"/>
  <c r="T32" i="24"/>
  <c r="X32" i="24" s="1"/>
  <c r="T29" i="24"/>
  <c r="X29" i="24" s="1"/>
  <c r="D9" i="23"/>
  <c r="T40" i="24" l="1"/>
  <c r="X40" i="24" s="1"/>
  <c r="X10" i="24"/>
  <c r="AA10" i="24"/>
  <c r="D40" i="24"/>
  <c r="L44" i="24"/>
  <c r="L43" i="24"/>
  <c r="C143" i="23"/>
  <c r="B143" i="23"/>
  <c r="D142" i="23"/>
  <c r="D141" i="23"/>
  <c r="D140" i="23" s="1"/>
  <c r="C140" i="23"/>
  <c r="B140" i="23"/>
  <c r="D138" i="23"/>
  <c r="D136" i="23"/>
  <c r="D134" i="23"/>
  <c r="D132" i="23"/>
  <c r="D130" i="23"/>
  <c r="D129" i="23"/>
  <c r="D128" i="23"/>
  <c r="D126" i="23" s="1"/>
  <c r="D127" i="23"/>
  <c r="C126" i="23"/>
  <c r="B126" i="23"/>
  <c r="D125" i="23"/>
  <c r="D124" i="23"/>
  <c r="D123" i="23" s="1"/>
  <c r="C123" i="23"/>
  <c r="B123" i="23"/>
  <c r="D121" i="23"/>
  <c r="D119" i="23"/>
  <c r="D118" i="23"/>
  <c r="C118" i="23"/>
  <c r="D117" i="23"/>
  <c r="D116" i="23"/>
  <c r="D115" i="23"/>
  <c r="D114" i="23"/>
  <c r="D113" i="23"/>
  <c r="D112" i="23"/>
  <c r="D111" i="23"/>
  <c r="C111" i="23"/>
  <c r="B111" i="23"/>
  <c r="D110" i="23"/>
  <c r="D109" i="23"/>
  <c r="C109" i="23"/>
  <c r="B109" i="23"/>
  <c r="D108" i="23"/>
  <c r="D107" i="23"/>
  <c r="C107" i="23"/>
  <c r="B107" i="23"/>
  <c r="D105" i="23"/>
  <c r="D103" i="23"/>
  <c r="D102" i="23"/>
  <c r="D101" i="23"/>
  <c r="D100" i="23"/>
  <c r="D99" i="23"/>
  <c r="D98" i="23"/>
  <c r="D97" i="23"/>
  <c r="D96" i="23"/>
  <c r="D95" i="23"/>
  <c r="D94" i="23"/>
  <c r="D93" i="23"/>
  <c r="D92" i="23"/>
  <c r="D91" i="23"/>
  <c r="D90" i="23" s="1"/>
  <c r="C90" i="23"/>
  <c r="B90" i="23"/>
  <c r="D89" i="23"/>
  <c r="D88" i="23"/>
  <c r="D87" i="23"/>
  <c r="C86" i="23"/>
  <c r="D86" i="23" s="1"/>
  <c r="D85" i="23"/>
  <c r="D84" i="23" s="1"/>
  <c r="B84" i="23"/>
  <c r="D82" i="23"/>
  <c r="D80" i="23"/>
  <c r="D79" i="23"/>
  <c r="D78" i="23"/>
  <c r="D77" i="23"/>
  <c r="C77" i="23"/>
  <c r="B77" i="23"/>
  <c r="D75" i="23"/>
  <c r="D73" i="23"/>
  <c r="D72" i="23"/>
  <c r="D71" i="23"/>
  <c r="D70" i="23"/>
  <c r="D69" i="23"/>
  <c r="D65" i="23" s="1"/>
  <c r="D68" i="23"/>
  <c r="D67" i="23"/>
  <c r="C66" i="23"/>
  <c r="D66" i="23" s="1"/>
  <c r="B65" i="23"/>
  <c r="D64" i="23"/>
  <c r="D63" i="23"/>
  <c r="C63" i="23"/>
  <c r="D62" i="23"/>
  <c r="D61" i="23"/>
  <c r="C61" i="23"/>
  <c r="B60" i="23"/>
  <c r="D60" i="23" s="1"/>
  <c r="D59" i="23"/>
  <c r="D58" i="23"/>
  <c r="C57" i="23"/>
  <c r="B57" i="23"/>
  <c r="D55" i="23"/>
  <c r="D53" i="23"/>
  <c r="D51" i="23"/>
  <c r="D50" i="23"/>
  <c r="C50" i="23"/>
  <c r="B50" i="23"/>
  <c r="D49" i="23"/>
  <c r="D48" i="23"/>
  <c r="D47" i="23"/>
  <c r="D46" i="23"/>
  <c r="C45" i="23"/>
  <c r="D45" i="23" s="1"/>
  <c r="B44" i="23"/>
  <c r="D43" i="23"/>
  <c r="D42" i="23"/>
  <c r="D41" i="23"/>
  <c r="C40" i="23"/>
  <c r="D40" i="23" s="1"/>
  <c r="D39" i="23" s="1"/>
  <c r="B39" i="23"/>
  <c r="D37" i="23"/>
  <c r="D35" i="23"/>
  <c r="D34" i="23"/>
  <c r="D33" i="23"/>
  <c r="D32" i="23"/>
  <c r="D31" i="23"/>
  <c r="D30" i="23"/>
  <c r="D29" i="23"/>
  <c r="D28" i="23"/>
  <c r="C28" i="23"/>
  <c r="B28" i="23"/>
  <c r="D27" i="23"/>
  <c r="D26" i="23"/>
  <c r="C26" i="23"/>
  <c r="B26" i="23"/>
  <c r="D25" i="23"/>
  <c r="D24" i="23"/>
  <c r="D23" i="23"/>
  <c r="D22" i="23"/>
  <c r="C21" i="23"/>
  <c r="D21" i="23" s="1"/>
  <c r="B21" i="23"/>
  <c r="D19" i="23"/>
  <c r="D17" i="23"/>
  <c r="D15" i="23"/>
  <c r="D14" i="23"/>
  <c r="D13" i="23" s="1"/>
  <c r="C13" i="23"/>
  <c r="B13" i="23"/>
  <c r="D12" i="23"/>
  <c r="D11" i="23" s="1"/>
  <c r="C11" i="23"/>
  <c r="B11" i="23"/>
  <c r="D143" i="23"/>
  <c r="D44" i="23" l="1"/>
  <c r="D57" i="23"/>
  <c r="C39" i="23"/>
  <c r="C44" i="23"/>
  <c r="C65" i="23"/>
  <c r="C84" i="23"/>
  <c r="B46" i="22" l="1"/>
  <c r="B45" i="22"/>
  <c r="D45" i="22" s="1"/>
  <c r="H44" i="22"/>
  <c r="H43" i="22" s="1"/>
  <c r="H42" i="22" s="1"/>
  <c r="G44" i="22"/>
  <c r="G43" i="22" s="1"/>
  <c r="G42" i="22" s="1"/>
  <c r="F44" i="22"/>
  <c r="C44" i="22"/>
  <c r="C43" i="22" s="1"/>
  <c r="C42" i="22" s="1"/>
  <c r="B44" i="22"/>
  <c r="B43" i="22" s="1"/>
  <c r="B42" i="22" s="1"/>
  <c r="F43" i="22"/>
  <c r="F42" i="22" s="1"/>
  <c r="B41" i="22"/>
  <c r="D41" i="22" s="1"/>
  <c r="B40" i="22"/>
  <c r="D40" i="22" s="1"/>
  <c r="B39" i="22"/>
  <c r="D39" i="22" s="1"/>
  <c r="H38" i="22"/>
  <c r="H37" i="22" s="1"/>
  <c r="H36" i="22" s="1"/>
  <c r="G38" i="22"/>
  <c r="F38" i="22"/>
  <c r="F37" i="22" s="1"/>
  <c r="F36" i="22" s="1"/>
  <c r="C38" i="22"/>
  <c r="C37" i="22" s="1"/>
  <c r="C36" i="22" s="1"/>
  <c r="G37" i="22"/>
  <c r="G36" i="22" s="1"/>
  <c r="B35" i="22"/>
  <c r="B34" i="22" s="1"/>
  <c r="B33" i="22" s="1"/>
  <c r="B32" i="22" s="1"/>
  <c r="C34" i="22"/>
  <c r="C33" i="22" s="1"/>
  <c r="C32" i="22" s="1"/>
  <c r="B31" i="22"/>
  <c r="B29" i="22" s="1"/>
  <c r="G29" i="22"/>
  <c r="F29" i="22"/>
  <c r="C29" i="22"/>
  <c r="B28" i="22"/>
  <c r="B27" i="22" s="1"/>
  <c r="B26" i="22" s="1"/>
  <c r="B25" i="22" s="1"/>
  <c r="C27" i="22"/>
  <c r="C26" i="22"/>
  <c r="C25" i="22" s="1"/>
  <c r="B24" i="22"/>
  <c r="B23" i="22" s="1"/>
  <c r="H23" i="22"/>
  <c r="G23" i="22"/>
  <c r="F23" i="22"/>
  <c r="F20" i="22" s="1"/>
  <c r="F19" i="22" s="1"/>
  <c r="C23" i="22"/>
  <c r="B22" i="22"/>
  <c r="D22" i="22" s="1"/>
  <c r="H21" i="22"/>
  <c r="G21" i="22"/>
  <c r="G20" i="22" s="1"/>
  <c r="G19" i="22" s="1"/>
  <c r="F21" i="22"/>
  <c r="C21" i="22"/>
  <c r="C20" i="22"/>
  <c r="C19" i="22" s="1"/>
  <c r="B18" i="22"/>
  <c r="B17" i="22" s="1"/>
  <c r="B16" i="22" s="1"/>
  <c r="C17" i="22"/>
  <c r="C16" i="22" s="1"/>
  <c r="B15" i="22"/>
  <c r="D15" i="22" s="1"/>
  <c r="B14" i="22"/>
  <c r="C13" i="22"/>
  <c r="C12" i="22" s="1"/>
  <c r="H11" i="22"/>
  <c r="H10" i="22" s="1"/>
  <c r="H9" i="22" s="1"/>
  <c r="H7" i="22" s="1"/>
  <c r="B11" i="22"/>
  <c r="D11" i="22" s="1"/>
  <c r="G10" i="22"/>
  <c r="F10" i="22"/>
  <c r="C10" i="22"/>
  <c r="C9" i="22" s="1"/>
  <c r="B10" i="22"/>
  <c r="B9" i="22" s="1"/>
  <c r="G9" i="22"/>
  <c r="G7" i="22" s="1"/>
  <c r="F9" i="22"/>
  <c r="F7" i="22" s="1"/>
  <c r="B8" i="22"/>
  <c r="D8" i="22" s="1"/>
  <c r="C7" i="22"/>
  <c r="F46" i="22" l="1"/>
  <c r="G46" i="22"/>
  <c r="B21" i="22"/>
  <c r="B20" i="22" s="1"/>
  <c r="B19" i="22" s="1"/>
  <c r="H20" i="22"/>
  <c r="H19" i="22" s="1"/>
  <c r="H29" i="22"/>
  <c r="B13" i="22"/>
  <c r="B12" i="22" s="1"/>
  <c r="B7" i="22" s="1"/>
  <c r="B38" i="22"/>
  <c r="B37" i="22" s="1"/>
  <c r="B36" i="22" s="1"/>
  <c r="C46" i="22"/>
  <c r="D14" i="22"/>
  <c r="D18" i="22"/>
  <c r="D24" i="22"/>
  <c r="D28" i="22"/>
  <c r="D31" i="22"/>
  <c r="D29" i="22" s="1"/>
  <c r="D46" i="22" s="1"/>
  <c r="D35" i="22"/>
  <c r="H46" i="22" l="1"/>
  <c r="Q17" i="20" l="1"/>
  <c r="Q21" i="20"/>
  <c r="N8" i="20"/>
  <c r="N7" i="20"/>
  <c r="Z17" i="15" l="1"/>
  <c r="Z31" i="15" l="1"/>
  <c r="Y29" i="15" l="1"/>
  <c r="JH8" i="3" l="1"/>
  <c r="JK8" i="3"/>
  <c r="JN8" i="3"/>
  <c r="JQ8" i="3"/>
  <c r="JT8" i="3"/>
  <c r="JW8" i="3"/>
  <c r="JZ8" i="3"/>
  <c r="IR8" i="3" l="1"/>
  <c r="IS8" i="3"/>
  <c r="IX8" i="3"/>
  <c r="IY8" i="3"/>
  <c r="JB8" i="3"/>
  <c r="JE8" i="3"/>
  <c r="IQ43" i="3"/>
  <c r="IP43" i="3"/>
  <c r="IQ39" i="3"/>
  <c r="IP39" i="3"/>
  <c r="IO39" i="3"/>
  <c r="IN39" i="3"/>
  <c r="IS35" i="3"/>
  <c r="IS39" i="3" s="1"/>
  <c r="IR35" i="3"/>
  <c r="IR39" i="3" s="1"/>
  <c r="IQ34" i="3"/>
  <c r="IQ36" i="3" s="1"/>
  <c r="IP34" i="3"/>
  <c r="IO34" i="3"/>
  <c r="IO38" i="3" s="1"/>
  <c r="IN34" i="3"/>
  <c r="IN36" i="3" s="1"/>
  <c r="IN40" i="3" s="1"/>
  <c r="IS33" i="3"/>
  <c r="IR33" i="3"/>
  <c r="IS32" i="3"/>
  <c r="IR32" i="3"/>
  <c r="IS31" i="3"/>
  <c r="IR31" i="3"/>
  <c r="IS30" i="3"/>
  <c r="IR30" i="3"/>
  <c r="IS29" i="3"/>
  <c r="IR29" i="3"/>
  <c r="IS28" i="3"/>
  <c r="IR28" i="3"/>
  <c r="IS27" i="3"/>
  <c r="IR27" i="3"/>
  <c r="IS26" i="3"/>
  <c r="IR26" i="3"/>
  <c r="IS25" i="3"/>
  <c r="IR25" i="3"/>
  <c r="IS24" i="3"/>
  <c r="IR24" i="3"/>
  <c r="IS23" i="3"/>
  <c r="IR23" i="3"/>
  <c r="IS22" i="3"/>
  <c r="IR22" i="3"/>
  <c r="IS21" i="3"/>
  <c r="IR21" i="3"/>
  <c r="IS20" i="3"/>
  <c r="IR20" i="3"/>
  <c r="IS19" i="3"/>
  <c r="IR19" i="3"/>
  <c r="IS18" i="3"/>
  <c r="IR18" i="3"/>
  <c r="IS17" i="3"/>
  <c r="IR17" i="3"/>
  <c r="IS16" i="3"/>
  <c r="IR16" i="3"/>
  <c r="IS15" i="3"/>
  <c r="IR15" i="3"/>
  <c r="IS14" i="3"/>
  <c r="IR14" i="3"/>
  <c r="IS13" i="3"/>
  <c r="IR13" i="3"/>
  <c r="IS12" i="3"/>
  <c r="IR12" i="3"/>
  <c r="IS11" i="3"/>
  <c r="IR11" i="3"/>
  <c r="IS10" i="3"/>
  <c r="IR10" i="3"/>
  <c r="IS9" i="3"/>
  <c r="IR9" i="3"/>
  <c r="IK43" i="3"/>
  <c r="IJ43" i="3"/>
  <c r="IK39" i="3"/>
  <c r="IJ39" i="3"/>
  <c r="II39" i="3"/>
  <c r="IH39" i="3"/>
  <c r="IM35" i="3"/>
  <c r="IM39" i="3" s="1"/>
  <c r="IL35" i="3"/>
  <c r="IL39" i="3" s="1"/>
  <c r="IK34" i="3"/>
  <c r="IJ34" i="3"/>
  <c r="IJ36" i="3" s="1"/>
  <c r="II34" i="3"/>
  <c r="II36" i="3" s="1"/>
  <c r="II40" i="3" s="1"/>
  <c r="IH34" i="3"/>
  <c r="IH36" i="3" s="1"/>
  <c r="IH40" i="3" s="1"/>
  <c r="IM33" i="3"/>
  <c r="IL33" i="3"/>
  <c r="IM32" i="3"/>
  <c r="IL32" i="3"/>
  <c r="IM31" i="3"/>
  <c r="IL31" i="3"/>
  <c r="IM30" i="3"/>
  <c r="IL30" i="3"/>
  <c r="IM29" i="3"/>
  <c r="IL29" i="3"/>
  <c r="IM28" i="3"/>
  <c r="IL28" i="3"/>
  <c r="IM27" i="3"/>
  <c r="IL27" i="3"/>
  <c r="IM26" i="3"/>
  <c r="IL26" i="3"/>
  <c r="IM25" i="3"/>
  <c r="IL25" i="3"/>
  <c r="IM24" i="3"/>
  <c r="IL24" i="3"/>
  <c r="IM23" i="3"/>
  <c r="IL23" i="3"/>
  <c r="IM22" i="3"/>
  <c r="IL22" i="3"/>
  <c r="IM21" i="3"/>
  <c r="IL21" i="3"/>
  <c r="IM20" i="3"/>
  <c r="IL20" i="3"/>
  <c r="IM19" i="3"/>
  <c r="IL19" i="3"/>
  <c r="IM18" i="3"/>
  <c r="IL18" i="3"/>
  <c r="IM17" i="3"/>
  <c r="IL17" i="3"/>
  <c r="IM16" i="3"/>
  <c r="IL16" i="3"/>
  <c r="IM15" i="3"/>
  <c r="IL15" i="3"/>
  <c r="IM14" i="3"/>
  <c r="IL14" i="3"/>
  <c r="IM13" i="3"/>
  <c r="IL13" i="3"/>
  <c r="IM12" i="3"/>
  <c r="IL12" i="3"/>
  <c r="IM11" i="3"/>
  <c r="IL11" i="3"/>
  <c r="IM10" i="3"/>
  <c r="IL10" i="3"/>
  <c r="IM9" i="3"/>
  <c r="IL9" i="3"/>
  <c r="IM8" i="3"/>
  <c r="IL8" i="3"/>
  <c r="IM34" i="3" l="1"/>
  <c r="IM36" i="3" s="1"/>
  <c r="IM40" i="3" s="1"/>
  <c r="IP42" i="3"/>
  <c r="IN38" i="3"/>
  <c r="IQ38" i="3"/>
  <c r="IS34" i="3"/>
  <c r="IS36" i="3" s="1"/>
  <c r="IS40" i="3" s="1"/>
  <c r="IR34" i="3"/>
  <c r="IR36" i="3" s="1"/>
  <c r="IR40" i="3" s="1"/>
  <c r="IQ40" i="3"/>
  <c r="IO36" i="3"/>
  <c r="IO40" i="3" s="1"/>
  <c r="IQ42" i="3"/>
  <c r="IP36" i="3"/>
  <c r="IP38" i="3"/>
  <c r="IH38" i="3"/>
  <c r="IK42" i="3"/>
  <c r="II38" i="3"/>
  <c r="IL34" i="3"/>
  <c r="IL36" i="3" s="1"/>
  <c r="IL40" i="3" s="1"/>
  <c r="IM38" i="3"/>
  <c r="IJ44" i="3"/>
  <c r="IJ40" i="3"/>
  <c r="IK36" i="3"/>
  <c r="IJ38" i="3"/>
  <c r="IJ42" i="3"/>
  <c r="IK38" i="3"/>
  <c r="IS38" i="3" l="1"/>
  <c r="IQ44" i="3"/>
  <c r="IR38" i="3"/>
  <c r="IP44" i="3"/>
  <c r="IP40" i="3"/>
  <c r="IL38" i="3"/>
  <c r="IK44" i="3"/>
  <c r="IK40" i="3"/>
  <c r="IF35" i="3" l="1"/>
  <c r="IF9" i="3"/>
  <c r="IF10" i="3"/>
  <c r="IF11" i="3"/>
  <c r="IF12" i="3"/>
  <c r="IF13" i="3"/>
  <c r="IF14" i="3"/>
  <c r="IF15" i="3"/>
  <c r="IF16" i="3"/>
  <c r="IF17" i="3"/>
  <c r="IF18" i="3"/>
  <c r="IF19" i="3"/>
  <c r="IF20" i="3"/>
  <c r="IF21" i="3"/>
  <c r="IF22" i="3"/>
  <c r="IF23" i="3"/>
  <c r="IF24" i="3"/>
  <c r="IF25" i="3"/>
  <c r="IF26" i="3"/>
  <c r="IF27" i="3"/>
  <c r="IF28" i="3"/>
  <c r="IF29" i="3"/>
  <c r="IF30" i="3"/>
  <c r="IF31" i="3"/>
  <c r="IF32" i="3"/>
  <c r="IF33" i="3"/>
  <c r="IF8" i="3"/>
  <c r="GP8" i="3"/>
  <c r="GQ8" i="3"/>
  <c r="GV8" i="3"/>
  <c r="GW8" i="3"/>
  <c r="HB8" i="3"/>
  <c r="HC8" i="3"/>
  <c r="HH8" i="3"/>
  <c r="HI8" i="3"/>
  <c r="HN8" i="3"/>
  <c r="H194" i="6" l="1"/>
  <c r="I194" i="6"/>
  <c r="J194" i="6"/>
  <c r="K194" i="6"/>
  <c r="L194" i="6"/>
  <c r="M194" i="6"/>
  <c r="K176" i="1" l="1"/>
  <c r="O176" i="1"/>
  <c r="N176" i="1"/>
  <c r="M176" i="1"/>
  <c r="K175" i="1" l="1"/>
  <c r="D175" i="1" l="1"/>
  <c r="U175" i="1"/>
  <c r="T175" i="1"/>
  <c r="AA175" i="1"/>
  <c r="Z175" i="1"/>
  <c r="Y175" i="1"/>
  <c r="W175" i="1"/>
  <c r="S175" i="1"/>
  <c r="AE175" i="1" s="1"/>
  <c r="Q175" i="1"/>
  <c r="L175" i="1"/>
  <c r="I175" i="1" s="1"/>
  <c r="V175" i="1" s="1"/>
  <c r="AC175" i="1" l="1"/>
  <c r="X175" i="1"/>
  <c r="AG175" i="1"/>
  <c r="E175" i="1"/>
  <c r="B175" i="1" s="1"/>
  <c r="P175" i="1" s="1"/>
  <c r="AB175" i="1" s="1"/>
  <c r="AF175" i="1"/>
  <c r="R175" i="1" l="1"/>
  <c r="AD175" i="1" s="1"/>
  <c r="O171" i="1" l="1"/>
  <c r="DF8" i="3" l="1"/>
  <c r="DH8" i="3" s="1"/>
  <c r="DK8" i="3"/>
  <c r="DP8" i="3"/>
  <c r="DU8" i="3"/>
  <c r="DZ8" i="3"/>
  <c r="EB8" i="3" s="1"/>
  <c r="EC8" i="3" s="1"/>
  <c r="ED8" i="3" l="1"/>
  <c r="CW23" i="3"/>
  <c r="CU23" i="3"/>
  <c r="CN8" i="3"/>
  <c r="CP8" i="3"/>
  <c r="CV8" i="3"/>
  <c r="CX8" i="3"/>
  <c r="CZ8" i="3" s="1"/>
  <c r="DD8" i="3"/>
  <c r="DG8" i="3" s="1"/>
  <c r="CG8" i="3"/>
  <c r="CI8" i="3"/>
  <c r="CL8" i="3"/>
  <c r="CQ8" i="3" l="1"/>
  <c r="CJ8" i="3"/>
  <c r="CY8" i="3"/>
  <c r="CS8" i="3"/>
  <c r="CR8" i="3"/>
  <c r="D36" i="12" l="1"/>
  <c r="M142" i="6" l="1"/>
  <c r="G163" i="6"/>
  <c r="G161" i="6"/>
  <c r="G158" i="6"/>
  <c r="G137" i="6"/>
  <c r="G119" i="6"/>
  <c r="G116" i="6"/>
  <c r="G83" i="6"/>
  <c r="G81" i="6"/>
  <c r="G74" i="6"/>
  <c r="G69" i="6"/>
  <c r="G67" i="6"/>
  <c r="G63" i="6"/>
  <c r="L101" i="6"/>
  <c r="K101" i="6"/>
  <c r="K34" i="6"/>
  <c r="L167" i="6" l="1"/>
  <c r="M163" i="6"/>
  <c r="L163" i="6"/>
  <c r="K163" i="6"/>
  <c r="L161" i="6"/>
  <c r="M160" i="6"/>
  <c r="L160" i="6"/>
  <c r="K160" i="6"/>
  <c r="M122" i="6"/>
  <c r="L122" i="6"/>
  <c r="K122" i="6"/>
  <c r="L119" i="6"/>
  <c r="K119" i="6"/>
  <c r="M116" i="6"/>
  <c r="L116" i="6"/>
  <c r="K116" i="6"/>
  <c r="M114" i="6"/>
  <c r="L114" i="6"/>
  <c r="K114" i="6"/>
  <c r="L113" i="6"/>
  <c r="K113" i="6"/>
  <c r="L111" i="6"/>
  <c r="K111" i="6"/>
  <c r="M105" i="6"/>
  <c r="M88" i="6"/>
  <c r="L88" i="6"/>
  <c r="K88" i="6"/>
  <c r="M85" i="6"/>
  <c r="K85" i="6"/>
  <c r="L73" i="6"/>
  <c r="K73" i="6"/>
  <c r="M69" i="6"/>
  <c r="M61" i="6"/>
  <c r="L61" i="6"/>
  <c r="K61" i="6"/>
  <c r="M60" i="6"/>
  <c r="L60" i="6"/>
  <c r="K60" i="6"/>
  <c r="AD66" i="1" l="1"/>
  <c r="AD68" i="1"/>
  <c r="AD70" i="1"/>
  <c r="AD72" i="1"/>
  <c r="AD74" i="1"/>
  <c r="AD76" i="1"/>
  <c r="AD78" i="1"/>
  <c r="E64" i="1"/>
  <c r="L64" i="1"/>
  <c r="K178" i="1" l="1"/>
  <c r="CV9" i="3" l="1"/>
  <c r="CV10" i="3"/>
  <c r="CV11" i="3"/>
  <c r="CV12" i="3"/>
  <c r="CV13" i="3"/>
  <c r="CV14" i="3"/>
  <c r="CV15" i="3"/>
  <c r="CV16" i="3"/>
  <c r="CV17" i="3"/>
  <c r="CV18" i="3"/>
  <c r="CV19" i="3"/>
  <c r="CV20" i="3"/>
  <c r="CV21" i="3"/>
  <c r="CV22" i="3"/>
  <c r="CV23" i="3"/>
  <c r="CV24" i="3"/>
  <c r="CV25" i="3"/>
  <c r="CV26" i="3"/>
  <c r="CV27" i="3"/>
  <c r="CV28" i="3"/>
  <c r="CV29" i="3"/>
  <c r="CV30" i="3"/>
  <c r="CV31" i="3"/>
  <c r="CV32" i="3"/>
  <c r="CV33" i="3"/>
  <c r="G8" i="20" l="1"/>
  <c r="G9" i="20"/>
  <c r="G10" i="20"/>
  <c r="G11" i="20"/>
  <c r="G12" i="20"/>
  <c r="G13" i="20"/>
  <c r="G14" i="20"/>
  <c r="G15" i="20"/>
  <c r="G16" i="20"/>
  <c r="G17" i="20"/>
  <c r="G18" i="20"/>
  <c r="G19" i="20"/>
  <c r="G20" i="20"/>
  <c r="G21" i="20"/>
  <c r="G22" i="20"/>
  <c r="G23" i="20"/>
  <c r="G24" i="20"/>
  <c r="G25" i="20"/>
  <c r="G26" i="20"/>
  <c r="G27" i="20"/>
  <c r="G28" i="20"/>
  <c r="G29" i="20"/>
  <c r="G30" i="20"/>
  <c r="G31" i="20"/>
  <c r="G32" i="20"/>
  <c r="G34" i="20"/>
  <c r="I8" i="20"/>
  <c r="I9" i="20"/>
  <c r="I10" i="20"/>
  <c r="I11" i="20"/>
  <c r="I12" i="20"/>
  <c r="I13" i="20"/>
  <c r="I14" i="20"/>
  <c r="I15" i="20"/>
  <c r="I16" i="20"/>
  <c r="I17" i="20"/>
  <c r="I18" i="20"/>
  <c r="I19" i="20"/>
  <c r="I20" i="20"/>
  <c r="I21" i="20"/>
  <c r="I22" i="20"/>
  <c r="I23" i="20"/>
  <c r="I24" i="20"/>
  <c r="I25" i="20"/>
  <c r="I26" i="20"/>
  <c r="I27" i="20"/>
  <c r="I28" i="20"/>
  <c r="I29" i="20"/>
  <c r="I30" i="20"/>
  <c r="I31" i="20"/>
  <c r="I32" i="20"/>
  <c r="I34" i="20"/>
  <c r="I7" i="20"/>
  <c r="G7" i="20"/>
  <c r="M8" i="20"/>
  <c r="M9" i="20"/>
  <c r="M10" i="20"/>
  <c r="M11" i="20"/>
  <c r="M12" i="20"/>
  <c r="M13" i="20"/>
  <c r="M14" i="20"/>
  <c r="M15" i="20"/>
  <c r="M16" i="20"/>
  <c r="M17" i="20"/>
  <c r="M18" i="20"/>
  <c r="M19" i="20"/>
  <c r="M20" i="20"/>
  <c r="M21" i="20"/>
  <c r="M22" i="20"/>
  <c r="M23" i="20"/>
  <c r="M24" i="20"/>
  <c r="M25" i="20"/>
  <c r="M26" i="20"/>
  <c r="M27" i="20"/>
  <c r="M28" i="20"/>
  <c r="M29" i="20"/>
  <c r="M30" i="20"/>
  <c r="M31" i="20"/>
  <c r="M32" i="20"/>
  <c r="M34" i="20"/>
  <c r="M7" i="20"/>
  <c r="K8" i="20"/>
  <c r="K9" i="20"/>
  <c r="K10" i="20"/>
  <c r="K11" i="20"/>
  <c r="K12" i="20"/>
  <c r="K13" i="20"/>
  <c r="K14" i="20"/>
  <c r="K15" i="20"/>
  <c r="K16" i="20"/>
  <c r="K17" i="20"/>
  <c r="K18" i="20"/>
  <c r="K19" i="20"/>
  <c r="K20" i="20"/>
  <c r="K21" i="20"/>
  <c r="K22" i="20"/>
  <c r="K23" i="20"/>
  <c r="K24" i="20"/>
  <c r="K25" i="20"/>
  <c r="K26" i="20"/>
  <c r="K27" i="20"/>
  <c r="K28" i="20"/>
  <c r="K29" i="20"/>
  <c r="K30" i="20"/>
  <c r="K31" i="20"/>
  <c r="K32" i="20"/>
  <c r="K34" i="20"/>
  <c r="K7" i="20"/>
  <c r="L34" i="20"/>
  <c r="J34" i="20"/>
  <c r="J8" i="20"/>
  <c r="L8" i="20"/>
  <c r="J9" i="20"/>
  <c r="L9" i="20"/>
  <c r="J10" i="20"/>
  <c r="L10" i="20"/>
  <c r="J11" i="20"/>
  <c r="L11" i="20"/>
  <c r="J12" i="20"/>
  <c r="L12" i="20"/>
  <c r="J13" i="20"/>
  <c r="L13" i="20"/>
  <c r="J14" i="20"/>
  <c r="L14" i="20"/>
  <c r="J15" i="20"/>
  <c r="L15" i="20"/>
  <c r="J16" i="20"/>
  <c r="L16" i="20"/>
  <c r="J17" i="20"/>
  <c r="L17" i="20"/>
  <c r="J18" i="20"/>
  <c r="L18" i="20"/>
  <c r="J19" i="20"/>
  <c r="L19" i="20"/>
  <c r="J20" i="20"/>
  <c r="L20" i="20"/>
  <c r="J21" i="20"/>
  <c r="L21" i="20"/>
  <c r="J22" i="20"/>
  <c r="L22" i="20"/>
  <c r="J23" i="20"/>
  <c r="L23" i="20"/>
  <c r="J24" i="20"/>
  <c r="L24" i="20"/>
  <c r="J25" i="20"/>
  <c r="L25" i="20"/>
  <c r="J26" i="20"/>
  <c r="L26" i="20"/>
  <c r="J27" i="20"/>
  <c r="L27" i="20"/>
  <c r="J28" i="20"/>
  <c r="L28" i="20"/>
  <c r="J29" i="20"/>
  <c r="L29" i="20"/>
  <c r="J30" i="20"/>
  <c r="L30" i="20"/>
  <c r="J31" i="20"/>
  <c r="L31" i="20"/>
  <c r="J32" i="20"/>
  <c r="L32" i="20"/>
  <c r="L7" i="20"/>
  <c r="J7" i="20"/>
  <c r="C34" i="20"/>
  <c r="H34" i="20" s="1"/>
  <c r="O34" i="20" s="1"/>
  <c r="B34" i="20"/>
  <c r="F34" i="20" s="1"/>
  <c r="D33" i="20"/>
  <c r="D35" i="20" s="1"/>
  <c r="E33" i="20"/>
  <c r="E35" i="20" s="1"/>
  <c r="P33" i="20"/>
  <c r="P35" i="20" s="1"/>
  <c r="S33" i="20"/>
  <c r="S35" i="20" s="1"/>
  <c r="T33" i="20"/>
  <c r="T35" i="20" s="1"/>
  <c r="U33" i="20"/>
  <c r="U35" i="20" s="1"/>
  <c r="V33" i="20"/>
  <c r="V35" i="20" s="1"/>
  <c r="B8" i="20"/>
  <c r="F8" i="20" s="1"/>
  <c r="C8" i="20"/>
  <c r="H8" i="20" s="1"/>
  <c r="B9" i="20"/>
  <c r="F9" i="20" s="1"/>
  <c r="N9" i="20" s="1"/>
  <c r="C9" i="20"/>
  <c r="H9" i="20" s="1"/>
  <c r="B10" i="20"/>
  <c r="F10" i="20" s="1"/>
  <c r="C10" i="20"/>
  <c r="H10" i="20" s="1"/>
  <c r="B11" i="20"/>
  <c r="F11" i="20" s="1"/>
  <c r="N11" i="20" s="1"/>
  <c r="C11" i="20"/>
  <c r="H11" i="20" s="1"/>
  <c r="B12" i="20"/>
  <c r="F12" i="20" s="1"/>
  <c r="C12" i="20"/>
  <c r="H12" i="20" s="1"/>
  <c r="B13" i="20"/>
  <c r="F13" i="20" s="1"/>
  <c r="N13" i="20" s="1"/>
  <c r="C13" i="20"/>
  <c r="H13" i="20" s="1"/>
  <c r="B14" i="20"/>
  <c r="F14" i="20" s="1"/>
  <c r="C14" i="20"/>
  <c r="H14" i="20" s="1"/>
  <c r="B15" i="20"/>
  <c r="F15" i="20" s="1"/>
  <c r="N15" i="20" s="1"/>
  <c r="C15" i="20"/>
  <c r="H15" i="20" s="1"/>
  <c r="B16" i="20"/>
  <c r="F16" i="20" s="1"/>
  <c r="C16" i="20"/>
  <c r="H16" i="20" s="1"/>
  <c r="B17" i="20"/>
  <c r="F17" i="20" s="1"/>
  <c r="N17" i="20" s="1"/>
  <c r="C17" i="20"/>
  <c r="H17" i="20" s="1"/>
  <c r="B18" i="20"/>
  <c r="F18" i="20" s="1"/>
  <c r="C18" i="20"/>
  <c r="H18" i="20" s="1"/>
  <c r="B19" i="20"/>
  <c r="F19" i="20" s="1"/>
  <c r="N19" i="20" s="1"/>
  <c r="C19" i="20"/>
  <c r="H19" i="20" s="1"/>
  <c r="B20" i="20"/>
  <c r="F20" i="20" s="1"/>
  <c r="C20" i="20"/>
  <c r="H20" i="20" s="1"/>
  <c r="B21" i="20"/>
  <c r="F21" i="20" s="1"/>
  <c r="N21" i="20" s="1"/>
  <c r="C21" i="20"/>
  <c r="H21" i="20" s="1"/>
  <c r="B22" i="20"/>
  <c r="F22" i="20" s="1"/>
  <c r="C22" i="20"/>
  <c r="H22" i="20" s="1"/>
  <c r="B23" i="20"/>
  <c r="F23" i="20" s="1"/>
  <c r="N23" i="20" s="1"/>
  <c r="C23" i="20"/>
  <c r="H23" i="20" s="1"/>
  <c r="B24" i="20"/>
  <c r="F24" i="20" s="1"/>
  <c r="C24" i="20"/>
  <c r="H24" i="20" s="1"/>
  <c r="B25" i="20"/>
  <c r="F25" i="20" s="1"/>
  <c r="N25" i="20" s="1"/>
  <c r="C25" i="20"/>
  <c r="H25" i="20" s="1"/>
  <c r="B26" i="20"/>
  <c r="F26" i="20" s="1"/>
  <c r="C26" i="20"/>
  <c r="H26" i="20" s="1"/>
  <c r="B27" i="20"/>
  <c r="F27" i="20" s="1"/>
  <c r="N27" i="20" s="1"/>
  <c r="C27" i="20"/>
  <c r="H27" i="20" s="1"/>
  <c r="B28" i="20"/>
  <c r="F28" i="20" s="1"/>
  <c r="C28" i="20"/>
  <c r="H28" i="20" s="1"/>
  <c r="B29" i="20"/>
  <c r="F29" i="20" s="1"/>
  <c r="N29" i="20" s="1"/>
  <c r="C29" i="20"/>
  <c r="H29" i="20" s="1"/>
  <c r="B30" i="20"/>
  <c r="F30" i="20" s="1"/>
  <c r="C30" i="20"/>
  <c r="H30" i="20" s="1"/>
  <c r="B31" i="20"/>
  <c r="F31" i="20" s="1"/>
  <c r="N31" i="20" s="1"/>
  <c r="C31" i="20"/>
  <c r="H31" i="20" s="1"/>
  <c r="B32" i="20"/>
  <c r="F32" i="20" s="1"/>
  <c r="C32" i="20"/>
  <c r="H32" i="20" s="1"/>
  <c r="C7" i="20"/>
  <c r="H7" i="20" s="1"/>
  <c r="O7" i="20" s="1"/>
  <c r="B7" i="20"/>
  <c r="F7" i="20" s="1"/>
  <c r="N34" i="20" l="1"/>
  <c r="K33" i="20"/>
  <c r="K35" i="20" s="1"/>
  <c r="J33" i="20"/>
  <c r="J35" i="20" s="1"/>
  <c r="M33" i="20"/>
  <c r="M35" i="20" s="1"/>
  <c r="R32" i="20"/>
  <c r="O28" i="20"/>
  <c r="R24" i="20"/>
  <c r="R20" i="20"/>
  <c r="R16" i="20"/>
  <c r="R12" i="20"/>
  <c r="R8" i="20"/>
  <c r="L33" i="20"/>
  <c r="L35" i="20" s="1"/>
  <c r="R31" i="20"/>
  <c r="R23" i="20"/>
  <c r="R11" i="20"/>
  <c r="R27" i="20"/>
  <c r="R19" i="20"/>
  <c r="R15" i="20"/>
  <c r="R25" i="20"/>
  <c r="R21" i="20"/>
  <c r="R17" i="20"/>
  <c r="R13" i="20"/>
  <c r="R9" i="20"/>
  <c r="G33" i="20"/>
  <c r="G35" i="20" s="1"/>
  <c r="Q32" i="20"/>
  <c r="Q28" i="20"/>
  <c r="Q24" i="20"/>
  <c r="Q20" i="20"/>
  <c r="Q16" i="20"/>
  <c r="Q12" i="20"/>
  <c r="R34" i="20"/>
  <c r="Q9" i="20"/>
  <c r="R7" i="20"/>
  <c r="R30" i="20"/>
  <c r="R26" i="20"/>
  <c r="R22" i="20"/>
  <c r="R18" i="20"/>
  <c r="R14" i="20"/>
  <c r="R10" i="20"/>
  <c r="Q13" i="20"/>
  <c r="R28" i="20"/>
  <c r="Q23" i="20"/>
  <c r="Q30" i="20"/>
  <c r="Q26" i="20"/>
  <c r="Q22" i="20"/>
  <c r="Q18" i="20"/>
  <c r="Q14" i="20"/>
  <c r="Q10" i="20"/>
  <c r="Q27" i="20"/>
  <c r="Q11" i="20"/>
  <c r="Q31" i="20"/>
  <c r="Q25" i="20"/>
  <c r="Q15" i="20"/>
  <c r="Q29" i="20"/>
  <c r="Q19" i="20"/>
  <c r="O31" i="20"/>
  <c r="O29" i="20"/>
  <c r="O27" i="20"/>
  <c r="O25" i="20"/>
  <c r="O23" i="20"/>
  <c r="O21" i="20"/>
  <c r="O19" i="20"/>
  <c r="O17" i="20"/>
  <c r="O15" i="20"/>
  <c r="O13" i="20"/>
  <c r="O11" i="20"/>
  <c r="Q34" i="20"/>
  <c r="Q8" i="20"/>
  <c r="I33" i="20"/>
  <c r="Q7" i="20"/>
  <c r="H33" i="20"/>
  <c r="H35" i="20" s="1"/>
  <c r="R29" i="20"/>
  <c r="N24" i="20"/>
  <c r="N20" i="20"/>
  <c r="N32" i="20"/>
  <c r="N28" i="20"/>
  <c r="N16" i="20"/>
  <c r="N12" i="20"/>
  <c r="O32" i="20"/>
  <c r="O30" i="20"/>
  <c r="O26" i="20"/>
  <c r="O24" i="20"/>
  <c r="O22" i="20"/>
  <c r="O20" i="20"/>
  <c r="O18" i="20"/>
  <c r="O16" i="20"/>
  <c r="O14" i="20"/>
  <c r="O12" i="20"/>
  <c r="O10" i="20"/>
  <c r="O8" i="20"/>
  <c r="N30" i="20"/>
  <c r="N26" i="20"/>
  <c r="N22" i="20"/>
  <c r="N18" i="20"/>
  <c r="N14" i="20"/>
  <c r="N10" i="20"/>
  <c r="B33" i="20"/>
  <c r="B35" i="20" s="1"/>
  <c r="C33" i="20"/>
  <c r="C35" i="20" s="1"/>
  <c r="F33" i="20"/>
  <c r="O9" i="20"/>
  <c r="N33" i="20" l="1"/>
  <c r="Q33" i="20"/>
  <c r="I35" i="20"/>
  <c r="R35" i="20" s="1"/>
  <c r="R33" i="20"/>
  <c r="O33" i="20"/>
  <c r="F35" i="20"/>
  <c r="N35" i="20" s="1"/>
  <c r="O35" i="20"/>
  <c r="Q35" i="20" l="1"/>
  <c r="KG26" i="3"/>
  <c r="S28" i="15" l="1"/>
  <c r="P31" i="15"/>
  <c r="Q13" i="15"/>
  <c r="Q14" i="15"/>
  <c r="Q15" i="15"/>
  <c r="Q16" i="15"/>
  <c r="Q17" i="15"/>
  <c r="Q18" i="15"/>
  <c r="Q19" i="15"/>
  <c r="Q20" i="15"/>
  <c r="Q21" i="15"/>
  <c r="Q22" i="15"/>
  <c r="Q23" i="15"/>
  <c r="Q24" i="15"/>
  <c r="Q25" i="15"/>
  <c r="Q26" i="15"/>
  <c r="Q27" i="15"/>
  <c r="Q28" i="15"/>
  <c r="Q29" i="15"/>
  <c r="Q30" i="15"/>
  <c r="S13" i="15"/>
  <c r="S14" i="15"/>
  <c r="S15" i="15"/>
  <c r="S16" i="15"/>
  <c r="S17" i="15"/>
  <c r="S18" i="15"/>
  <c r="S19" i="15"/>
  <c r="S20" i="15"/>
  <c r="S21" i="15"/>
  <c r="S22" i="15"/>
  <c r="S23" i="15"/>
  <c r="S24" i="15"/>
  <c r="S25" i="15"/>
  <c r="S26" i="15"/>
  <c r="S27" i="15"/>
  <c r="S29" i="15"/>
  <c r="S30" i="15"/>
  <c r="R20" i="15" l="1"/>
  <c r="R24" i="15"/>
  <c r="R28" i="15"/>
  <c r="R13" i="15"/>
  <c r="R21" i="15"/>
  <c r="R25" i="15"/>
  <c r="R29" i="15"/>
  <c r="R14" i="15"/>
  <c r="R18" i="15"/>
  <c r="R22" i="15"/>
  <c r="R26" i="15"/>
  <c r="R30" i="15"/>
  <c r="R15" i="15"/>
  <c r="R19" i="15"/>
  <c r="R23" i="15"/>
  <c r="R27" i="15"/>
  <c r="R12" i="15"/>
  <c r="R16" i="15"/>
  <c r="HP40" i="3"/>
  <c r="HQ40" i="3"/>
  <c r="HR40" i="3"/>
  <c r="HS40" i="3"/>
  <c r="Y37" i="15"/>
  <c r="Y38" i="15"/>
  <c r="Y36" i="15"/>
  <c r="Z13" i="15"/>
  <c r="Y32" i="15"/>
  <c r="Z4" i="15" l="1"/>
  <c r="H25" i="5" l="1"/>
  <c r="V33" i="12"/>
  <c r="H35" i="5" s="1"/>
  <c r="V32" i="12"/>
  <c r="H34" i="5" s="1"/>
  <c r="V31" i="12"/>
  <c r="H33" i="5" s="1"/>
  <c r="V30" i="12"/>
  <c r="H32" i="5" s="1"/>
  <c r="V29" i="12"/>
  <c r="H31" i="5" s="1"/>
  <c r="V28" i="12"/>
  <c r="H30" i="5" s="1"/>
  <c r="V27" i="12"/>
  <c r="H29" i="5" s="1"/>
  <c r="V26" i="12"/>
  <c r="H28" i="5" s="1"/>
  <c r="V25" i="12"/>
  <c r="H27" i="5" s="1"/>
  <c r="V24" i="12"/>
  <c r="H26" i="5" s="1"/>
  <c r="V23" i="12"/>
  <c r="V22" i="12"/>
  <c r="H24" i="5" s="1"/>
  <c r="V21" i="12"/>
  <c r="H23" i="5" s="1"/>
  <c r="V20" i="12"/>
  <c r="H22" i="5" s="1"/>
  <c r="V19" i="12"/>
  <c r="H21" i="5" s="1"/>
  <c r="V18" i="12"/>
  <c r="H20" i="5" s="1"/>
  <c r="V17" i="12"/>
  <c r="H19" i="5" s="1"/>
  <c r="V16" i="12"/>
  <c r="H18" i="5" s="1"/>
  <c r="V15" i="12"/>
  <c r="H17" i="5" s="1"/>
  <c r="V14" i="12"/>
  <c r="H16" i="5" s="1"/>
  <c r="V13" i="12"/>
  <c r="H15" i="5" s="1"/>
  <c r="V12" i="12"/>
  <c r="H14" i="5" s="1"/>
  <c r="V11" i="12"/>
  <c r="H13" i="5" s="1"/>
  <c r="V10" i="12"/>
  <c r="H12" i="5" s="1"/>
  <c r="V9" i="12"/>
  <c r="H11" i="5" s="1"/>
  <c r="V8" i="12"/>
  <c r="H10" i="5" s="1"/>
  <c r="V34" i="12" l="1"/>
  <c r="KF35" i="3" l="1"/>
  <c r="KF9" i="3"/>
  <c r="KF10" i="3"/>
  <c r="KF11" i="3"/>
  <c r="KF12" i="3"/>
  <c r="KF13" i="3"/>
  <c r="KF14" i="3"/>
  <c r="KF15" i="3"/>
  <c r="KF16" i="3"/>
  <c r="KF17" i="3"/>
  <c r="KF18" i="3"/>
  <c r="KF19" i="3"/>
  <c r="KF20" i="3"/>
  <c r="KF21" i="3"/>
  <c r="KF22" i="3"/>
  <c r="KF23" i="3"/>
  <c r="KF24" i="3"/>
  <c r="KF25" i="3"/>
  <c r="KF26" i="3"/>
  <c r="KF27" i="3"/>
  <c r="KF28" i="3"/>
  <c r="KF29" i="3"/>
  <c r="KF30" i="3"/>
  <c r="KF31" i="3"/>
  <c r="KF32" i="3"/>
  <c r="KF33" i="3"/>
  <c r="KF8" i="3"/>
  <c r="KC36" i="3"/>
  <c r="KB34" i="3"/>
  <c r="KB36" i="3" s="1"/>
  <c r="KC34" i="3"/>
  <c r="KD34" i="3"/>
  <c r="KD36" i="3" s="1"/>
  <c r="JQ35" i="3" l="1"/>
  <c r="JP34" i="3"/>
  <c r="JP36" i="3" s="1"/>
  <c r="JO34" i="3"/>
  <c r="JO36" i="3" s="1"/>
  <c r="JQ33" i="3"/>
  <c r="JQ32" i="3"/>
  <c r="JQ31" i="3"/>
  <c r="JQ30" i="3"/>
  <c r="JQ29" i="3"/>
  <c r="JQ28" i="3"/>
  <c r="JQ27" i="3"/>
  <c r="JQ26" i="3"/>
  <c r="JQ25" i="3"/>
  <c r="JQ24" i="3"/>
  <c r="JQ23" i="3"/>
  <c r="JQ22" i="3"/>
  <c r="JQ21" i="3"/>
  <c r="JQ20" i="3"/>
  <c r="JQ19" i="3"/>
  <c r="JQ18" i="3"/>
  <c r="JQ17" i="3"/>
  <c r="JQ16" i="3"/>
  <c r="JQ15" i="3"/>
  <c r="JQ14" i="3"/>
  <c r="JQ13" i="3"/>
  <c r="JQ12" i="3"/>
  <c r="JQ11" i="3"/>
  <c r="JQ10" i="3"/>
  <c r="JQ9" i="3"/>
  <c r="JN35" i="3"/>
  <c r="JM34" i="3"/>
  <c r="JM36" i="3" s="1"/>
  <c r="JL34" i="3"/>
  <c r="JL36" i="3" s="1"/>
  <c r="JN33" i="3"/>
  <c r="JN32" i="3"/>
  <c r="JN31" i="3"/>
  <c r="JN30" i="3"/>
  <c r="JN29" i="3"/>
  <c r="JN28" i="3"/>
  <c r="JN27" i="3"/>
  <c r="JN26" i="3"/>
  <c r="JN25" i="3"/>
  <c r="JN24" i="3"/>
  <c r="JN23" i="3"/>
  <c r="JN22" i="3"/>
  <c r="JN21" i="3"/>
  <c r="JN20" i="3"/>
  <c r="JN19" i="3"/>
  <c r="JN18" i="3"/>
  <c r="JN17" i="3"/>
  <c r="JN16" i="3"/>
  <c r="JN15" i="3"/>
  <c r="JN14" i="3"/>
  <c r="JN13" i="3"/>
  <c r="JN12" i="3"/>
  <c r="JN11" i="3"/>
  <c r="JN10" i="3"/>
  <c r="JN9" i="3"/>
  <c r="KE8" i="3"/>
  <c r="JN34" i="3" l="1"/>
  <c r="JN36" i="3" s="1"/>
  <c r="JQ34" i="3"/>
  <c r="JQ36" i="3" s="1"/>
  <c r="JB35" i="3"/>
  <c r="JA34" i="3"/>
  <c r="JA36" i="3" s="1"/>
  <c r="IZ34" i="3"/>
  <c r="IZ36" i="3" s="1"/>
  <c r="JB33" i="3"/>
  <c r="JB32" i="3"/>
  <c r="JB31" i="3"/>
  <c r="JB30" i="3"/>
  <c r="JB29" i="3"/>
  <c r="JB28" i="3"/>
  <c r="JB27" i="3"/>
  <c r="JB26" i="3"/>
  <c r="JB25" i="3"/>
  <c r="JB24" i="3"/>
  <c r="JB23" i="3"/>
  <c r="JB22" i="3"/>
  <c r="JB21" i="3"/>
  <c r="JB20" i="3"/>
  <c r="JB19" i="3"/>
  <c r="JB18" i="3"/>
  <c r="JB17" i="3"/>
  <c r="JB16" i="3"/>
  <c r="JB15" i="3"/>
  <c r="JB14" i="3"/>
  <c r="JB13" i="3"/>
  <c r="JB12" i="3"/>
  <c r="JB11" i="3"/>
  <c r="JB10" i="3"/>
  <c r="JB9" i="3"/>
  <c r="JB34" i="3" l="1"/>
  <c r="JB36" i="3" s="1"/>
  <c r="GF39" i="3" l="1"/>
  <c r="GG39" i="3"/>
  <c r="GH39" i="3"/>
  <c r="GI39" i="3"/>
  <c r="GL39" i="3"/>
  <c r="GM39" i="3"/>
  <c r="GN39" i="3"/>
  <c r="GO39" i="3"/>
  <c r="GR39" i="3"/>
  <c r="GS39" i="3"/>
  <c r="GT39" i="3"/>
  <c r="GU39" i="3"/>
  <c r="GF34" i="3"/>
  <c r="GF36" i="3" s="1"/>
  <c r="GF40" i="3" s="1"/>
  <c r="GG34" i="3"/>
  <c r="GG36" i="3" s="1"/>
  <c r="GG40" i="3" s="1"/>
  <c r="GH34" i="3"/>
  <c r="GH38" i="3" s="1"/>
  <c r="GI34" i="3"/>
  <c r="GI38" i="3" s="1"/>
  <c r="GK35" i="3"/>
  <c r="GK39" i="3" s="1"/>
  <c r="GJ35" i="3"/>
  <c r="GJ39" i="3" s="1"/>
  <c r="GK33" i="3"/>
  <c r="GJ33" i="3"/>
  <c r="GK32" i="3"/>
  <c r="GJ32" i="3"/>
  <c r="GK31" i="3"/>
  <c r="GJ31" i="3"/>
  <c r="GK30" i="3"/>
  <c r="GJ30" i="3"/>
  <c r="GK29" i="3"/>
  <c r="GJ29" i="3"/>
  <c r="GK28" i="3"/>
  <c r="GJ28" i="3"/>
  <c r="GK27" i="3"/>
  <c r="GJ27" i="3"/>
  <c r="GK26" i="3"/>
  <c r="GJ26" i="3"/>
  <c r="GK25" i="3"/>
  <c r="GJ25" i="3"/>
  <c r="GK24" i="3"/>
  <c r="GJ24" i="3"/>
  <c r="GK23" i="3"/>
  <c r="GJ23" i="3"/>
  <c r="GK22" i="3"/>
  <c r="GJ22" i="3"/>
  <c r="GK21" i="3"/>
  <c r="GJ21" i="3"/>
  <c r="GK20" i="3"/>
  <c r="GJ20" i="3"/>
  <c r="GK19" i="3"/>
  <c r="GJ19" i="3"/>
  <c r="GK18" i="3"/>
  <c r="GJ18" i="3"/>
  <c r="GK17" i="3"/>
  <c r="GJ17" i="3"/>
  <c r="GK16" i="3"/>
  <c r="GJ16" i="3"/>
  <c r="GK15" i="3"/>
  <c r="GJ15" i="3"/>
  <c r="GK14" i="3"/>
  <c r="GJ14" i="3"/>
  <c r="GK13" i="3"/>
  <c r="GJ13" i="3"/>
  <c r="GK12" i="3"/>
  <c r="GJ12" i="3"/>
  <c r="GK11" i="3"/>
  <c r="GJ11" i="3"/>
  <c r="GK10" i="3"/>
  <c r="GJ10" i="3"/>
  <c r="GK9" i="3"/>
  <c r="GJ9" i="3"/>
  <c r="GK8" i="3"/>
  <c r="GJ8" i="3"/>
  <c r="HO8" i="3"/>
  <c r="HT8" i="3"/>
  <c r="GK34" i="3" l="1"/>
  <c r="GK38" i="3" s="1"/>
  <c r="GG38" i="3"/>
  <c r="GI36" i="3"/>
  <c r="GI40" i="3" s="1"/>
  <c r="GJ34" i="3"/>
  <c r="GJ36" i="3" s="1"/>
  <c r="GJ40" i="3" s="1"/>
  <c r="GH36" i="3"/>
  <c r="GH40" i="3" s="1"/>
  <c r="GF38" i="3"/>
  <c r="GK36" i="3" l="1"/>
  <c r="GK40" i="3" s="1"/>
  <c r="GJ38" i="3"/>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5" i="14"/>
  <c r="W6" i="15" s="1"/>
  <c r="EP34" i="3" l="1"/>
  <c r="EQ34" i="3"/>
  <c r="ER34" i="3"/>
  <c r="ES34" i="3"/>
  <c r="ET34" i="3"/>
  <c r="EU34" i="3"/>
  <c r="EV34" i="3"/>
  <c r="Y8" i="12" l="1"/>
  <c r="AB8" i="12"/>
  <c r="AE8" i="12"/>
  <c r="Y9" i="12"/>
  <c r="AB9" i="12"/>
  <c r="AE9" i="12"/>
  <c r="V116" i="1" l="1"/>
  <c r="W116" i="1"/>
  <c r="V117" i="1"/>
  <c r="W117" i="1"/>
  <c r="K53" i="6"/>
  <c r="L53" i="6"/>
  <c r="M53" i="6"/>
  <c r="AA121" i="1" l="1"/>
  <c r="Y121" i="1"/>
  <c r="V78" i="1"/>
  <c r="U78" i="1"/>
  <c r="FC8" i="3" l="1"/>
  <c r="FF8" i="3" s="1"/>
  <c r="FL8" i="3"/>
  <c r="FM8" i="3"/>
  <c r="FR8" i="3"/>
  <c r="FS8" i="3"/>
  <c r="CA8" i="3"/>
  <c r="CC8" i="3"/>
  <c r="CE8" i="3" s="1"/>
  <c r="FG8" i="3" l="1"/>
  <c r="CD8" i="3"/>
  <c r="DY34" i="3" l="1"/>
  <c r="AW8" i="3" l="1"/>
  <c r="BB8" i="3"/>
  <c r="BC8" i="3"/>
  <c r="BH8" i="3"/>
  <c r="BI8" i="3"/>
  <c r="BQ8" i="3"/>
  <c r="AW9" i="3"/>
  <c r="BB9" i="3"/>
  <c r="BC9" i="3"/>
  <c r="BH9" i="3"/>
  <c r="BI9" i="3"/>
  <c r="BQ9" i="3"/>
  <c r="AW10" i="3"/>
  <c r="BB10" i="3"/>
  <c r="BC10" i="3"/>
  <c r="BH10" i="3"/>
  <c r="BI10" i="3"/>
  <c r="BQ10" i="3"/>
  <c r="AW11" i="3"/>
  <c r="BB11" i="3"/>
  <c r="BC11" i="3"/>
  <c r="BH11" i="3"/>
  <c r="BI11" i="3"/>
  <c r="BQ11" i="3"/>
  <c r="G139" i="1" l="1"/>
  <c r="H139" i="1"/>
  <c r="I139" i="1"/>
  <c r="J139" i="1"/>
  <c r="K139" i="1"/>
  <c r="F139" i="1"/>
  <c r="Y4" i="15" l="1"/>
  <c r="L31" i="1" l="1"/>
  <c r="S12" i="15" l="1"/>
  <c r="Q12" i="15"/>
  <c r="O31" i="15"/>
  <c r="Y24" i="15"/>
  <c r="Y23" i="15"/>
  <c r="JX34" i="3"/>
  <c r="JX36" i="3" s="1"/>
  <c r="JY34" i="3"/>
  <c r="JY36" i="3" s="1"/>
  <c r="JZ35" i="3"/>
  <c r="JZ33" i="3"/>
  <c r="JZ32" i="3"/>
  <c r="JZ31" i="3"/>
  <c r="JZ30" i="3"/>
  <c r="JZ29" i="3"/>
  <c r="JZ28" i="3"/>
  <c r="JZ27" i="3"/>
  <c r="JZ26" i="3"/>
  <c r="JZ25" i="3"/>
  <c r="JZ24" i="3"/>
  <c r="JZ23" i="3"/>
  <c r="JZ22" i="3"/>
  <c r="JZ21" i="3"/>
  <c r="JZ20" i="3"/>
  <c r="JZ19" i="3"/>
  <c r="JZ18" i="3"/>
  <c r="JZ17" i="3"/>
  <c r="JZ16" i="3"/>
  <c r="JZ15" i="3"/>
  <c r="JZ14" i="3"/>
  <c r="JZ13" i="3"/>
  <c r="JZ12" i="3"/>
  <c r="JZ11" i="3"/>
  <c r="JZ10" i="3"/>
  <c r="JZ9" i="3"/>
  <c r="JZ34" i="3" l="1"/>
  <c r="JZ36" i="3" s="1"/>
  <c r="GD8" i="3" l="1"/>
  <c r="GE8" i="3"/>
  <c r="FX8" i="3" l="1"/>
  <c r="FY8" i="3"/>
  <c r="FC9" i="3" l="1"/>
  <c r="FC10" i="3"/>
  <c r="FC11" i="3"/>
  <c r="FC12" i="3"/>
  <c r="FC13" i="3"/>
  <c r="FC14" i="3"/>
  <c r="FC15" i="3"/>
  <c r="FC16" i="3"/>
  <c r="FC17" i="3"/>
  <c r="FC18" i="3"/>
  <c r="FC19" i="3"/>
  <c r="FC20" i="3"/>
  <c r="FC21" i="3"/>
  <c r="FC22" i="3"/>
  <c r="FC23" i="3"/>
  <c r="FC24" i="3"/>
  <c r="FC25" i="3"/>
  <c r="FC26" i="3"/>
  <c r="FC27" i="3"/>
  <c r="FC28" i="3"/>
  <c r="FC29" i="3"/>
  <c r="FC30" i="3"/>
  <c r="FC31" i="3"/>
  <c r="FC32" i="3"/>
  <c r="FC33" i="3"/>
  <c r="CP9" i="3" l="1"/>
  <c r="CP10" i="3"/>
  <c r="CP11" i="3"/>
  <c r="CP12" i="3"/>
  <c r="CP13" i="3"/>
  <c r="CP14" i="3"/>
  <c r="CP15" i="3"/>
  <c r="CP16" i="3"/>
  <c r="CP17" i="3"/>
  <c r="CP18" i="3"/>
  <c r="CP19" i="3"/>
  <c r="CP20" i="3"/>
  <c r="CP21" i="3"/>
  <c r="CP22" i="3"/>
  <c r="CP23" i="3"/>
  <c r="CP24" i="3"/>
  <c r="CP25" i="3"/>
  <c r="CP26" i="3"/>
  <c r="CP27" i="3"/>
  <c r="CP28" i="3"/>
  <c r="CP29" i="3"/>
  <c r="CP30" i="3"/>
  <c r="CP31" i="3"/>
  <c r="CP32" i="3"/>
  <c r="CP33" i="3"/>
  <c r="AR8" i="3"/>
  <c r="O8" i="3" l="1"/>
  <c r="S8" i="3"/>
  <c r="X8" i="3"/>
  <c r="AC8" i="3"/>
  <c r="O9" i="3"/>
  <c r="BJ9" i="3" s="1"/>
  <c r="S9" i="3"/>
  <c r="BK9" i="3" s="1"/>
  <c r="X9" i="3"/>
  <c r="AC9" i="3"/>
  <c r="O10" i="3"/>
  <c r="BJ10" i="3" s="1"/>
  <c r="S10" i="3"/>
  <c r="BK10" i="3" s="1"/>
  <c r="X10" i="3"/>
  <c r="AC10" i="3"/>
  <c r="F8" i="3"/>
  <c r="AD8" i="3" s="1"/>
  <c r="K8" i="3"/>
  <c r="BJ8" i="3" l="1"/>
  <c r="DV8" i="3"/>
  <c r="BK8" i="3"/>
  <c r="BL8" i="3" s="1"/>
  <c r="DW8" i="3"/>
  <c r="AK10" i="3"/>
  <c r="AK8" i="3"/>
  <c r="BL10" i="3"/>
  <c r="BL9" i="3"/>
  <c r="AL8" i="3"/>
  <c r="AK9" i="3"/>
  <c r="AE8" i="3"/>
  <c r="AJ8" i="3" s="1"/>
  <c r="AH8" i="3"/>
  <c r="DX8" i="3" l="1"/>
  <c r="AM8" i="3"/>
  <c r="AF8" i="3"/>
  <c r="L76" i="6"/>
  <c r="L178" i="6"/>
  <c r="I178" i="6"/>
  <c r="L177" i="6"/>
  <c r="I177" i="6"/>
  <c r="L176" i="6"/>
  <c r="I176" i="6"/>
  <c r="L175" i="6"/>
  <c r="I175" i="6"/>
  <c r="M174" i="6"/>
  <c r="L174" i="6"/>
  <c r="K174" i="6"/>
  <c r="J174" i="6"/>
  <c r="I174" i="6"/>
  <c r="H174" i="6"/>
  <c r="M173" i="6"/>
  <c r="L173" i="6"/>
  <c r="K173" i="6"/>
  <c r="J173" i="6"/>
  <c r="I173" i="6"/>
  <c r="H173" i="6"/>
  <c r="J172" i="6"/>
  <c r="I172" i="6"/>
  <c r="H172" i="6"/>
  <c r="M171" i="6"/>
  <c r="L171" i="6"/>
  <c r="K171" i="6"/>
  <c r="J171" i="6"/>
  <c r="I171" i="6"/>
  <c r="H171" i="6"/>
  <c r="M170" i="6"/>
  <c r="K170" i="6"/>
  <c r="J170" i="6"/>
  <c r="I170" i="6"/>
  <c r="H170" i="6"/>
  <c r="M169" i="6"/>
  <c r="L169" i="6"/>
  <c r="K169" i="6"/>
  <c r="J169" i="6"/>
  <c r="I169" i="6"/>
  <c r="H169" i="6"/>
  <c r="J167" i="6"/>
  <c r="I167" i="6"/>
  <c r="H167" i="6"/>
  <c r="L165" i="6"/>
  <c r="K165" i="6"/>
  <c r="J165" i="6"/>
  <c r="I165" i="6"/>
  <c r="H165" i="6"/>
  <c r="J163" i="6"/>
  <c r="I163" i="6"/>
  <c r="H163" i="6"/>
  <c r="J161" i="6"/>
  <c r="I161" i="6"/>
  <c r="H161" i="6"/>
  <c r="J160" i="6"/>
  <c r="I160" i="6"/>
  <c r="H160" i="6"/>
  <c r="M158" i="6"/>
  <c r="L158" i="6"/>
  <c r="K158" i="6"/>
  <c r="J158" i="6"/>
  <c r="I158" i="6"/>
  <c r="H158" i="6"/>
  <c r="M156" i="6"/>
  <c r="L156" i="6"/>
  <c r="K156" i="6"/>
  <c r="J156" i="6"/>
  <c r="I156" i="6"/>
  <c r="H156" i="6"/>
  <c r="M154" i="6"/>
  <c r="L154" i="6"/>
  <c r="K154" i="6"/>
  <c r="J154" i="6"/>
  <c r="I154" i="6"/>
  <c r="H154" i="6"/>
  <c r="M153" i="6"/>
  <c r="L153" i="6"/>
  <c r="K153" i="6"/>
  <c r="J153" i="6"/>
  <c r="I153" i="6"/>
  <c r="H153" i="6"/>
  <c r="M151" i="6"/>
  <c r="L151" i="6"/>
  <c r="K151" i="6"/>
  <c r="J151" i="6"/>
  <c r="I151" i="6"/>
  <c r="H151" i="6"/>
  <c r="M150" i="6"/>
  <c r="L150" i="6"/>
  <c r="K150" i="6"/>
  <c r="J150" i="6"/>
  <c r="I150" i="6"/>
  <c r="H150" i="6"/>
  <c r="J149" i="6"/>
  <c r="I149" i="6"/>
  <c r="H149" i="6"/>
  <c r="M148" i="6"/>
  <c r="L148" i="6"/>
  <c r="K148" i="6"/>
  <c r="J148" i="6"/>
  <c r="I148" i="6"/>
  <c r="H148" i="6"/>
  <c r="L147" i="6"/>
  <c r="K147" i="6"/>
  <c r="J147" i="6"/>
  <c r="I147" i="6"/>
  <c r="H147" i="6"/>
  <c r="L146" i="6"/>
  <c r="K146" i="6"/>
  <c r="J146" i="6"/>
  <c r="I146" i="6"/>
  <c r="H146" i="6"/>
  <c r="L145" i="6"/>
  <c r="K145" i="6"/>
  <c r="J145" i="6"/>
  <c r="I145" i="6"/>
  <c r="H145" i="6"/>
  <c r="J144" i="6"/>
  <c r="I144" i="6"/>
  <c r="H144" i="6"/>
  <c r="L143" i="6"/>
  <c r="K143" i="6"/>
  <c r="J143" i="6"/>
  <c r="I143" i="6"/>
  <c r="H143" i="6"/>
  <c r="L142" i="6"/>
  <c r="K142" i="6"/>
  <c r="J142" i="6"/>
  <c r="I142" i="6"/>
  <c r="H142" i="6"/>
  <c r="L141" i="6"/>
  <c r="K141" i="6"/>
  <c r="J141" i="6"/>
  <c r="I141" i="6"/>
  <c r="H141" i="6"/>
  <c r="M139" i="6"/>
  <c r="L139" i="6"/>
  <c r="K139" i="6"/>
  <c r="J139" i="6"/>
  <c r="I139" i="6"/>
  <c r="H139" i="6"/>
  <c r="M137" i="6"/>
  <c r="L137" i="6"/>
  <c r="K137" i="6"/>
  <c r="J137" i="6"/>
  <c r="I137" i="6"/>
  <c r="H137" i="6"/>
  <c r="M136" i="6"/>
  <c r="L136" i="6"/>
  <c r="K136" i="6"/>
  <c r="J136" i="6"/>
  <c r="I136" i="6"/>
  <c r="H136" i="6"/>
  <c r="M134" i="6"/>
  <c r="L134" i="6"/>
  <c r="K134" i="6"/>
  <c r="J134" i="6"/>
  <c r="I134" i="6"/>
  <c r="H134" i="6"/>
  <c r="L133" i="6"/>
  <c r="K133" i="6"/>
  <c r="J133" i="6"/>
  <c r="I133" i="6"/>
  <c r="H133" i="6"/>
  <c r="M131" i="6"/>
  <c r="L131" i="6"/>
  <c r="K131" i="6"/>
  <c r="J131" i="6"/>
  <c r="I131" i="6"/>
  <c r="H131" i="6"/>
  <c r="L130" i="6"/>
  <c r="K130" i="6"/>
  <c r="J130" i="6"/>
  <c r="I130" i="6"/>
  <c r="H130" i="6"/>
  <c r="M129" i="6"/>
  <c r="L129" i="6"/>
  <c r="K129" i="6"/>
  <c r="J129" i="6"/>
  <c r="I129" i="6"/>
  <c r="H129" i="6"/>
  <c r="L128" i="6"/>
  <c r="K128" i="6"/>
  <c r="J128" i="6"/>
  <c r="I128" i="6"/>
  <c r="H128" i="6"/>
  <c r="M126" i="6"/>
  <c r="L126" i="6"/>
  <c r="K126" i="6"/>
  <c r="J126" i="6"/>
  <c r="I126" i="6"/>
  <c r="H126" i="6"/>
  <c r="M124" i="6"/>
  <c r="L124" i="6"/>
  <c r="K124" i="6"/>
  <c r="J124" i="6"/>
  <c r="I124" i="6"/>
  <c r="H124" i="6"/>
  <c r="J122" i="6"/>
  <c r="I122" i="6"/>
  <c r="H122" i="6"/>
  <c r="M121" i="6"/>
  <c r="L121" i="6"/>
  <c r="K121" i="6"/>
  <c r="J121" i="6"/>
  <c r="I121" i="6"/>
  <c r="H121" i="6"/>
  <c r="J119" i="6"/>
  <c r="I119" i="6"/>
  <c r="H119" i="6"/>
  <c r="J118" i="6"/>
  <c r="I118" i="6"/>
  <c r="H118" i="6"/>
  <c r="J116" i="6"/>
  <c r="I116" i="6"/>
  <c r="H116" i="6"/>
  <c r="J114" i="6"/>
  <c r="I114" i="6"/>
  <c r="H114" i="6"/>
  <c r="J113" i="6"/>
  <c r="I113" i="6"/>
  <c r="H113" i="6"/>
  <c r="J111" i="6"/>
  <c r="I111" i="6"/>
  <c r="H111" i="6"/>
  <c r="M109" i="6"/>
  <c r="L109" i="6"/>
  <c r="K109" i="6"/>
  <c r="J109" i="6"/>
  <c r="I109" i="6"/>
  <c r="H109" i="6"/>
  <c r="L107" i="6"/>
  <c r="K107" i="6"/>
  <c r="J107" i="6"/>
  <c r="I107" i="6"/>
  <c r="H107" i="6"/>
  <c r="J105" i="6"/>
  <c r="I105" i="6"/>
  <c r="H105" i="6"/>
  <c r="M104" i="6"/>
  <c r="L104" i="6"/>
  <c r="K104" i="6"/>
  <c r="J104" i="6"/>
  <c r="I104" i="6"/>
  <c r="H104" i="6"/>
  <c r="M102" i="6"/>
  <c r="L102" i="6"/>
  <c r="K102" i="6"/>
  <c r="J102" i="6"/>
  <c r="I102" i="6"/>
  <c r="H102" i="6"/>
  <c r="J101" i="6"/>
  <c r="I101" i="6"/>
  <c r="H101" i="6"/>
  <c r="M100" i="6"/>
  <c r="L100" i="6"/>
  <c r="K100" i="6"/>
  <c r="J100" i="6"/>
  <c r="I100" i="6"/>
  <c r="H100" i="6"/>
  <c r="M98" i="6"/>
  <c r="L98" i="6"/>
  <c r="K98" i="6"/>
  <c r="J98" i="6"/>
  <c r="I98" i="6"/>
  <c r="H98" i="6"/>
  <c r="M96" i="6"/>
  <c r="L96" i="6"/>
  <c r="K96" i="6"/>
  <c r="J96" i="6"/>
  <c r="I96" i="6"/>
  <c r="H96" i="6"/>
  <c r="M95" i="6"/>
  <c r="L95" i="6"/>
  <c r="K95" i="6"/>
  <c r="J95" i="6"/>
  <c r="I95" i="6"/>
  <c r="H95" i="6"/>
  <c r="M93" i="6"/>
  <c r="L93" i="6"/>
  <c r="K93" i="6"/>
  <c r="J93" i="6"/>
  <c r="I93" i="6"/>
  <c r="H93" i="6"/>
  <c r="M91" i="6"/>
  <c r="L91" i="6"/>
  <c r="K91" i="6"/>
  <c r="J91" i="6"/>
  <c r="I91" i="6"/>
  <c r="H91" i="6"/>
  <c r="L90" i="6"/>
  <c r="K90" i="6"/>
  <c r="J90" i="6"/>
  <c r="I90" i="6"/>
  <c r="H90" i="6"/>
  <c r="J88" i="6"/>
  <c r="I88" i="6"/>
  <c r="H88" i="6"/>
  <c r="M87" i="6"/>
  <c r="L87" i="6"/>
  <c r="K87" i="6"/>
  <c r="J87" i="6"/>
  <c r="I87" i="6"/>
  <c r="H87" i="6"/>
  <c r="M86" i="6"/>
  <c r="L86" i="6"/>
  <c r="K86" i="6"/>
  <c r="J86" i="6"/>
  <c r="I86" i="6"/>
  <c r="H86" i="6"/>
  <c r="J85" i="6"/>
  <c r="I85" i="6"/>
  <c r="H85" i="6"/>
  <c r="L83" i="6"/>
  <c r="K83" i="6"/>
  <c r="J83" i="6"/>
  <c r="I83" i="6"/>
  <c r="H83" i="6"/>
  <c r="M81" i="6"/>
  <c r="L81" i="6"/>
  <c r="K81" i="6"/>
  <c r="J81" i="6"/>
  <c r="I81" i="6"/>
  <c r="H81" i="6"/>
  <c r="M80" i="6"/>
  <c r="L80" i="6"/>
  <c r="K80" i="6"/>
  <c r="J80" i="6"/>
  <c r="I80" i="6"/>
  <c r="H80" i="6"/>
  <c r="M79" i="6"/>
  <c r="L79" i="6"/>
  <c r="K79" i="6"/>
  <c r="J79" i="6"/>
  <c r="I79" i="6"/>
  <c r="H79" i="6"/>
  <c r="M77" i="6"/>
  <c r="L77" i="6"/>
  <c r="K77" i="6"/>
  <c r="J77" i="6"/>
  <c r="I77" i="6"/>
  <c r="H77" i="6"/>
  <c r="M76" i="6"/>
  <c r="K76" i="6"/>
  <c r="J76" i="6"/>
  <c r="I76" i="6"/>
  <c r="H76" i="6"/>
  <c r="M74" i="6"/>
  <c r="L74" i="6"/>
  <c r="K74" i="6"/>
  <c r="J74" i="6"/>
  <c r="I74" i="6"/>
  <c r="H74" i="6"/>
  <c r="J73" i="6"/>
  <c r="I73" i="6"/>
  <c r="H73" i="6"/>
  <c r="M71" i="6"/>
  <c r="L71" i="6"/>
  <c r="K71" i="6"/>
  <c r="J71" i="6"/>
  <c r="I71" i="6"/>
  <c r="H71" i="6"/>
  <c r="H59" i="6" l="1"/>
  <c r="H60" i="6"/>
  <c r="H61" i="6"/>
  <c r="H63" i="6"/>
  <c r="H65" i="6"/>
  <c r="H67" i="6"/>
  <c r="H69" i="6"/>
  <c r="K50" i="6" l="1"/>
  <c r="L50" i="6"/>
  <c r="K51" i="6"/>
  <c r="L51" i="6"/>
  <c r="M51" i="6"/>
  <c r="K52" i="6"/>
  <c r="L52" i="6"/>
  <c r="M52" i="6"/>
  <c r="M49" i="6"/>
  <c r="L49" i="6"/>
  <c r="K49" i="6"/>
  <c r="K12" i="6"/>
  <c r="L12" i="6"/>
  <c r="M12" i="6"/>
  <c r="K13" i="6"/>
  <c r="L13" i="6"/>
  <c r="M13" i="6"/>
  <c r="K14" i="6"/>
  <c r="L14" i="6"/>
  <c r="K15" i="6"/>
  <c r="L15" i="6"/>
  <c r="K16" i="6"/>
  <c r="L16" i="6"/>
  <c r="M16" i="6"/>
  <c r="K17" i="6"/>
  <c r="L17" i="6"/>
  <c r="M17" i="6"/>
  <c r="K18" i="6"/>
  <c r="L18" i="6"/>
  <c r="M18" i="6"/>
  <c r="K19" i="6"/>
  <c r="L19" i="6"/>
  <c r="M19" i="6"/>
  <c r="K20" i="6"/>
  <c r="L20" i="6"/>
  <c r="K21" i="6"/>
  <c r="L21" i="6"/>
  <c r="M21" i="6"/>
  <c r="K22" i="6"/>
  <c r="L22" i="6"/>
  <c r="K23" i="6"/>
  <c r="M23" i="6"/>
  <c r="K24" i="6"/>
  <c r="L24" i="6"/>
  <c r="M24" i="6"/>
  <c r="K25" i="6"/>
  <c r="M25" i="6"/>
  <c r="K26" i="6"/>
  <c r="L26" i="6"/>
  <c r="M26" i="6"/>
  <c r="K27" i="6"/>
  <c r="M27" i="6"/>
  <c r="K28" i="6"/>
  <c r="L28" i="6"/>
  <c r="K29" i="6"/>
  <c r="L29" i="6"/>
  <c r="K30" i="6"/>
  <c r="M30" i="6"/>
  <c r="K31" i="6"/>
  <c r="L31" i="6"/>
  <c r="K32" i="6"/>
  <c r="L32" i="6"/>
  <c r="K33" i="6"/>
  <c r="L33" i="6"/>
  <c r="M33" i="6"/>
  <c r="K35" i="6"/>
  <c r="L35" i="6"/>
  <c r="M35" i="6"/>
  <c r="K36" i="6"/>
  <c r="L36" i="6"/>
  <c r="L37" i="6"/>
  <c r="K38" i="6"/>
  <c r="L38" i="6"/>
  <c r="K39" i="6"/>
  <c r="L39" i="6"/>
  <c r="K40" i="6"/>
  <c r="L40" i="6"/>
  <c r="M40" i="6"/>
  <c r="K41" i="6"/>
  <c r="L41" i="6"/>
  <c r="M41" i="6"/>
  <c r="K42" i="6"/>
  <c r="L42" i="6"/>
  <c r="M42" i="6"/>
  <c r="K43" i="6"/>
  <c r="L43" i="6"/>
  <c r="M43" i="6"/>
  <c r="K44" i="6"/>
  <c r="L44" i="6"/>
  <c r="M44" i="6"/>
  <c r="K45" i="6"/>
  <c r="L45" i="6"/>
  <c r="M45" i="6"/>
  <c r="K46" i="6"/>
  <c r="M46" i="6"/>
  <c r="K47" i="6"/>
  <c r="L47" i="6"/>
  <c r="M47" i="6"/>
  <c r="L35" i="1" l="1"/>
  <c r="E35" i="1"/>
  <c r="F63" i="15" l="1"/>
  <c r="F62" i="15"/>
  <c r="F61" i="15"/>
  <c r="F60" i="15"/>
  <c r="F59" i="15"/>
  <c r="F58" i="15"/>
  <c r="F57" i="15"/>
  <c r="F56" i="15"/>
  <c r="F55" i="15"/>
  <c r="F54" i="15"/>
  <c r="F53" i="15"/>
  <c r="F52" i="15"/>
  <c r="F51" i="15"/>
  <c r="F50" i="15"/>
  <c r="F49" i="15"/>
  <c r="F48" i="15"/>
  <c r="F47" i="15"/>
  <c r="F46" i="15"/>
  <c r="F45" i="15"/>
  <c r="F44" i="15"/>
  <c r="F43" i="15"/>
  <c r="F42" i="15"/>
  <c r="H171" i="1"/>
  <c r="G171" i="1"/>
  <c r="F171" i="1"/>
  <c r="D171" i="1"/>
  <c r="E143" i="1" l="1"/>
  <c r="F5" i="15" l="1"/>
  <c r="H59" i="15" l="1"/>
  <c r="G13" i="15"/>
  <c r="F37" i="15"/>
  <c r="F33" i="15"/>
  <c r="F21" i="15"/>
  <c r="F18" i="15"/>
  <c r="Y17" i="15" l="1"/>
  <c r="Y14" i="15"/>
  <c r="Y15" i="15"/>
  <c r="Y16" i="15"/>
  <c r="DC34" i="3" l="1"/>
  <c r="AO34" i="3" l="1"/>
  <c r="AP34" i="3"/>
  <c r="AQ34" i="3"/>
  <c r="AN34" i="3"/>
  <c r="AR9" i="3"/>
  <c r="H10" i="2" s="1"/>
  <c r="I10" i="2"/>
  <c r="AR10" i="3"/>
  <c r="H11" i="2" s="1"/>
  <c r="I11" i="2"/>
  <c r="AR11" i="3"/>
  <c r="H12" i="2" s="1"/>
  <c r="I12" i="2"/>
  <c r="AR12" i="3"/>
  <c r="H13" i="2" s="1"/>
  <c r="AW12" i="3"/>
  <c r="I13" i="2" s="1"/>
  <c r="AR13" i="3"/>
  <c r="H14" i="2" s="1"/>
  <c r="AW13" i="3"/>
  <c r="I14" i="2" s="1"/>
  <c r="AR14" i="3"/>
  <c r="H15" i="2" s="1"/>
  <c r="AW14" i="3"/>
  <c r="I15" i="2" s="1"/>
  <c r="AR15" i="3"/>
  <c r="H16" i="2" s="1"/>
  <c r="AW15" i="3"/>
  <c r="I16" i="2" s="1"/>
  <c r="AR16" i="3"/>
  <c r="H17" i="2" s="1"/>
  <c r="AW16" i="3"/>
  <c r="I17" i="2" s="1"/>
  <c r="AR17" i="3"/>
  <c r="H18" i="2" s="1"/>
  <c r="AW17" i="3"/>
  <c r="I18" i="2" s="1"/>
  <c r="AR18" i="3"/>
  <c r="H19" i="2" s="1"/>
  <c r="AW18" i="3"/>
  <c r="I19" i="2" s="1"/>
  <c r="AR19" i="3"/>
  <c r="H20" i="2" s="1"/>
  <c r="AW19" i="3"/>
  <c r="I20" i="2" s="1"/>
  <c r="AR20" i="3"/>
  <c r="H21" i="2" s="1"/>
  <c r="AW20" i="3"/>
  <c r="I21" i="2" s="1"/>
  <c r="AR21" i="3"/>
  <c r="H22" i="2" s="1"/>
  <c r="AW21" i="3"/>
  <c r="I22" i="2" s="1"/>
  <c r="AR22" i="3"/>
  <c r="H23" i="2" s="1"/>
  <c r="AW22" i="3"/>
  <c r="I23" i="2" s="1"/>
  <c r="AR23" i="3"/>
  <c r="H24" i="2" s="1"/>
  <c r="AW23" i="3"/>
  <c r="I24" i="2" s="1"/>
  <c r="AR24" i="3"/>
  <c r="H25" i="2" s="1"/>
  <c r="AW24" i="3"/>
  <c r="I25" i="2" s="1"/>
  <c r="AR25" i="3"/>
  <c r="H26" i="2" s="1"/>
  <c r="AW25" i="3"/>
  <c r="I26" i="2" s="1"/>
  <c r="AR26" i="3"/>
  <c r="H27" i="2" s="1"/>
  <c r="AW26" i="3"/>
  <c r="I27" i="2" s="1"/>
  <c r="AR27" i="3"/>
  <c r="H28" i="2" s="1"/>
  <c r="AW27" i="3"/>
  <c r="I28" i="2" s="1"/>
  <c r="AR28" i="3"/>
  <c r="H29" i="2" s="1"/>
  <c r="AW28" i="3"/>
  <c r="I29" i="2" s="1"/>
  <c r="AR29" i="3"/>
  <c r="H30" i="2" s="1"/>
  <c r="AW29" i="3"/>
  <c r="I30" i="2" s="1"/>
  <c r="AR30" i="3"/>
  <c r="H31" i="2" s="1"/>
  <c r="AW30" i="3"/>
  <c r="I31" i="2" s="1"/>
  <c r="AR31" i="3"/>
  <c r="H32" i="2" s="1"/>
  <c r="AW31" i="3"/>
  <c r="I32" i="2" s="1"/>
  <c r="AR32" i="3"/>
  <c r="H33" i="2" s="1"/>
  <c r="AW32" i="3"/>
  <c r="I33" i="2" s="1"/>
  <c r="AR33" i="3"/>
  <c r="H34" i="2" s="1"/>
  <c r="AW33" i="3"/>
  <c r="I34" i="2" s="1"/>
  <c r="H9" i="2"/>
  <c r="H35" i="2" l="1"/>
  <c r="AW34" i="3"/>
  <c r="I9" i="2"/>
  <c r="AR34" i="3"/>
  <c r="I35" i="2" l="1"/>
  <c r="AR35" i="3"/>
  <c r="L79" i="1"/>
  <c r="E79" i="1"/>
  <c r="K195" i="6" l="1"/>
  <c r="M195" i="6"/>
  <c r="K48" i="6"/>
  <c r="L48" i="6"/>
  <c r="M48" i="6"/>
  <c r="L11" i="6"/>
  <c r="K11" i="6"/>
  <c r="AG34" i="3" l="1"/>
  <c r="IW43" i="3" l="1"/>
  <c r="IV43" i="3"/>
  <c r="IW39" i="3"/>
  <c r="IV39" i="3"/>
  <c r="IU39" i="3"/>
  <c r="IT39" i="3"/>
  <c r="GD27" i="3" l="1"/>
  <c r="GD45" i="3" s="1"/>
  <c r="FT39" i="3" l="1"/>
  <c r="FU39" i="3"/>
  <c r="FV39" i="3"/>
  <c r="FW39" i="3"/>
  <c r="F35" i="14" l="1"/>
  <c r="E35" i="14"/>
  <c r="X3" i="15" s="1"/>
  <c r="B35" i="14"/>
  <c r="W3" i="15" s="1"/>
  <c r="W5" i="15" s="1"/>
  <c r="W7" i="15" s="1"/>
  <c r="E35" i="11"/>
  <c r="C35" i="11"/>
  <c r="B35" i="11"/>
  <c r="H35" i="11" l="1"/>
  <c r="X5" i="15"/>
  <c r="Y5" i="15" s="1"/>
  <c r="Y3" i="15"/>
  <c r="I35" i="14"/>
  <c r="X6" i="15"/>
  <c r="H35" i="14"/>
  <c r="D64" i="15"/>
  <c r="E64" i="15"/>
  <c r="D35" i="11"/>
  <c r="Y31" i="15"/>
  <c r="Y30" i="15"/>
  <c r="Y28" i="15"/>
  <c r="Y22" i="15"/>
  <c r="Y6" i="15" l="1"/>
  <c r="X7" i="15"/>
  <c r="Y7" i="15" s="1"/>
  <c r="G59" i="15"/>
  <c r="F64" i="15"/>
  <c r="Y13" i="15"/>
  <c r="Y12" i="15"/>
  <c r="F36" i="15" l="1"/>
  <c r="F30" i="15"/>
  <c r="F28" i="15"/>
  <c r="F29" i="15"/>
  <c r="F27" i="15"/>
  <c r="F24" i="15"/>
  <c r="F25" i="15"/>
  <c r="F26" i="15"/>
  <c r="F31" i="15"/>
  <c r="F22" i="15"/>
  <c r="F20" i="15"/>
  <c r="F16" i="15"/>
  <c r="F17" i="15"/>
  <c r="F15" i="15"/>
  <c r="Q31" i="15" l="1"/>
  <c r="R17" i="15"/>
  <c r="JV34" i="3"/>
  <c r="JV36" i="3" s="1"/>
  <c r="JU34" i="3"/>
  <c r="JU36" i="3" s="1"/>
  <c r="KE35" i="3"/>
  <c r="JW35" i="3" l="1"/>
  <c r="JW33" i="3"/>
  <c r="JW32" i="3"/>
  <c r="JW31" i="3"/>
  <c r="JW30" i="3"/>
  <c r="JW29" i="3"/>
  <c r="JW28" i="3"/>
  <c r="JW27" i="3"/>
  <c r="JW26" i="3"/>
  <c r="JW25" i="3"/>
  <c r="JW24" i="3"/>
  <c r="JW23" i="3"/>
  <c r="JW22" i="3"/>
  <c r="JW21" i="3"/>
  <c r="JW20" i="3"/>
  <c r="JW19" i="3"/>
  <c r="JW18" i="3"/>
  <c r="JW17" i="3"/>
  <c r="JW16" i="3"/>
  <c r="JW15" i="3"/>
  <c r="JW14" i="3"/>
  <c r="JW13" i="3"/>
  <c r="JW12" i="3"/>
  <c r="JW11" i="3"/>
  <c r="JW10" i="3"/>
  <c r="JW9" i="3"/>
  <c r="IY35" i="3"/>
  <c r="IY39" i="3" s="1"/>
  <c r="IX35" i="3"/>
  <c r="IX39" i="3" s="1"/>
  <c r="JW34" i="3" l="1"/>
  <c r="JW36" i="3" s="1"/>
  <c r="L119" i="1" l="1"/>
  <c r="E119" i="1"/>
  <c r="M65" i="6" l="1"/>
  <c r="CT34" i="3" l="1"/>
  <c r="AA125" i="1" l="1"/>
  <c r="Z125" i="1"/>
  <c r="Y125" i="1"/>
  <c r="W125" i="1"/>
  <c r="V125" i="1"/>
  <c r="U125" i="1"/>
  <c r="T125" i="1"/>
  <c r="S125" i="1"/>
  <c r="Q125" i="1"/>
  <c r="P125" i="1"/>
  <c r="AA124" i="1"/>
  <c r="Z124" i="1"/>
  <c r="Y124" i="1"/>
  <c r="W124" i="1"/>
  <c r="V124" i="1"/>
  <c r="U124" i="1"/>
  <c r="T124" i="1"/>
  <c r="S124" i="1"/>
  <c r="Q124" i="1"/>
  <c r="P124" i="1"/>
  <c r="L125" i="1"/>
  <c r="L124" i="1" s="1"/>
  <c r="X124" i="1" s="1"/>
  <c r="E125" i="1"/>
  <c r="R125" i="1" s="1"/>
  <c r="P119" i="1"/>
  <c r="Q119" i="1"/>
  <c r="S119" i="1"/>
  <c r="T119" i="1"/>
  <c r="U119" i="1"/>
  <c r="V119" i="1"/>
  <c r="W119" i="1"/>
  <c r="Y119" i="1"/>
  <c r="Z119" i="1"/>
  <c r="AA119" i="1"/>
  <c r="Y108" i="1"/>
  <c r="AA79" i="1"/>
  <c r="Z79" i="1"/>
  <c r="Y79" i="1"/>
  <c r="W79" i="1"/>
  <c r="V79" i="1"/>
  <c r="U79" i="1"/>
  <c r="T79" i="1"/>
  <c r="S79" i="1"/>
  <c r="Q79" i="1"/>
  <c r="P79" i="1"/>
  <c r="AB124" i="1" l="1"/>
  <c r="E124" i="1"/>
  <c r="R124" i="1" s="1"/>
  <c r="AD124" i="1" s="1"/>
  <c r="AB79" i="1"/>
  <c r="AC125" i="1"/>
  <c r="AB119" i="1"/>
  <c r="AC124" i="1"/>
  <c r="AF124" i="1"/>
  <c r="AE125" i="1"/>
  <c r="AG125" i="1"/>
  <c r="X125" i="1"/>
  <c r="AD125" i="1" s="1"/>
  <c r="AF125" i="1"/>
  <c r="AB125" i="1"/>
  <c r="AE124" i="1"/>
  <c r="AG124" i="1"/>
  <c r="AC119" i="1"/>
  <c r="AC79" i="1"/>
  <c r="E26" i="1"/>
  <c r="B42" i="1"/>
  <c r="B43" i="1" s="1"/>
  <c r="B40" i="1"/>
  <c r="B39" i="1"/>
  <c r="B38" i="1"/>
  <c r="B41" i="1" l="1"/>
  <c r="EW8" i="3"/>
  <c r="FA8" i="3" l="1"/>
  <c r="EZ8" i="3"/>
  <c r="F9" i="1"/>
  <c r="G9" i="1"/>
  <c r="H9" i="1"/>
  <c r="I9" i="1"/>
  <c r="J9" i="1"/>
  <c r="K9" i="1"/>
  <c r="P32" i="15" l="1"/>
  <c r="O32" i="15"/>
  <c r="FK39" i="3" l="1"/>
  <c r="FJ39" i="3"/>
  <c r="FI39" i="3"/>
  <c r="FH39" i="3"/>
  <c r="FK43" i="3" l="1"/>
  <c r="FJ43" i="3"/>
  <c r="F56" i="6"/>
  <c r="G56" i="6"/>
  <c r="F57" i="6"/>
  <c r="G57" i="6"/>
  <c r="FC34" i="3" l="1"/>
  <c r="FC35" i="3" s="1"/>
  <c r="FD34" i="3"/>
  <c r="FE34" i="3"/>
  <c r="FE35" i="3" s="1"/>
  <c r="FB34" i="3"/>
  <c r="FF9" i="3"/>
  <c r="FG9" i="3"/>
  <c r="FF10" i="3"/>
  <c r="FG10" i="3"/>
  <c r="FF11" i="3"/>
  <c r="FG11" i="3"/>
  <c r="FF12" i="3"/>
  <c r="FG12" i="3"/>
  <c r="FF13" i="3"/>
  <c r="FG13" i="3"/>
  <c r="FF14" i="3"/>
  <c r="FG14" i="3"/>
  <c r="FF15" i="3"/>
  <c r="FG15" i="3"/>
  <c r="FF16" i="3"/>
  <c r="FG16" i="3"/>
  <c r="FF17" i="3"/>
  <c r="FG17" i="3"/>
  <c r="FF18" i="3"/>
  <c r="FG18" i="3"/>
  <c r="FF19" i="3"/>
  <c r="FG19" i="3"/>
  <c r="FF20" i="3"/>
  <c r="FG20" i="3"/>
  <c r="FF21" i="3"/>
  <c r="FG21" i="3"/>
  <c r="FF22" i="3"/>
  <c r="FG22" i="3"/>
  <c r="FF23" i="3"/>
  <c r="FG23" i="3"/>
  <c r="FF24" i="3"/>
  <c r="FG24" i="3"/>
  <c r="FF25" i="3"/>
  <c r="FG25" i="3"/>
  <c r="FF26" i="3"/>
  <c r="FG26" i="3"/>
  <c r="FF27" i="3"/>
  <c r="FG27" i="3"/>
  <c r="FF28" i="3"/>
  <c r="FG28" i="3"/>
  <c r="FF29" i="3"/>
  <c r="FG29" i="3"/>
  <c r="FF30" i="3"/>
  <c r="FG30" i="3"/>
  <c r="FF31" i="3"/>
  <c r="FG31" i="3"/>
  <c r="FF32" i="3"/>
  <c r="FG32" i="3"/>
  <c r="FF33" i="3"/>
  <c r="FG33" i="3"/>
  <c r="FF34" i="3" l="1"/>
  <c r="FG34" i="3"/>
  <c r="AD97" i="1" l="1"/>
  <c r="AE97" i="1"/>
  <c r="AD99" i="1"/>
  <c r="AE99" i="1"/>
  <c r="AD101" i="1"/>
  <c r="AE101" i="1"/>
  <c r="AD105" i="1"/>
  <c r="AE105" i="1"/>
  <c r="AE70" i="1"/>
  <c r="AE72" i="1"/>
  <c r="AE74" i="1"/>
  <c r="AE76" i="1"/>
  <c r="AE78" i="1"/>
  <c r="AG78" i="1"/>
  <c r="IC34" i="3" l="1"/>
  <c r="IC36" i="3" s="1"/>
  <c r="ID34" i="3"/>
  <c r="ID36" i="3" s="1"/>
  <c r="IE34" i="3"/>
  <c r="IE36" i="3" s="1"/>
  <c r="IB34" i="3"/>
  <c r="IB36" i="3" s="1"/>
  <c r="IG35" i="3"/>
  <c r="IG33" i="3"/>
  <c r="IG32" i="3"/>
  <c r="IG31" i="3"/>
  <c r="IG30" i="3"/>
  <c r="IG29" i="3"/>
  <c r="IG28" i="3"/>
  <c r="IG27" i="3"/>
  <c r="IG26" i="3"/>
  <c r="IG25" i="3"/>
  <c r="IG24" i="3"/>
  <c r="IG23" i="3"/>
  <c r="IG22" i="3"/>
  <c r="IG21" i="3"/>
  <c r="IG20" i="3"/>
  <c r="IG19" i="3"/>
  <c r="IG18" i="3"/>
  <c r="IG17" i="3"/>
  <c r="IG16" i="3"/>
  <c r="IG15" i="3"/>
  <c r="IG14" i="3"/>
  <c r="IG13" i="3"/>
  <c r="IG12" i="3"/>
  <c r="IG11" i="3"/>
  <c r="IG10" i="3"/>
  <c r="IG9" i="3"/>
  <c r="IG8" i="3"/>
  <c r="IG34" i="3" l="1"/>
  <c r="IG36" i="3" s="1"/>
  <c r="IF34" i="3"/>
  <c r="IF36" i="3" s="1"/>
  <c r="FH34" i="3" l="1"/>
  <c r="FH36" i="3" l="1"/>
  <c r="FH38" i="3"/>
  <c r="FH40" i="3" l="1"/>
  <c r="B36" i="14"/>
  <c r="IT34" i="3"/>
  <c r="D38" i="15" s="1"/>
  <c r="IT36" i="3" l="1"/>
  <c r="IT38" i="3"/>
  <c r="EY35" i="3"/>
  <c r="EW35" i="3"/>
  <c r="B36" i="11" l="1"/>
  <c r="IT40" i="3"/>
  <c r="EM34" i="3"/>
  <c r="EM35" i="3"/>
  <c r="EM36" i="3" l="1"/>
  <c r="EJ35" i="3"/>
  <c r="EF9" i="3" l="1"/>
  <c r="EF10" i="3"/>
  <c r="EF11" i="3"/>
  <c r="EF12" i="3"/>
  <c r="EF13" i="3"/>
  <c r="EF14" i="3"/>
  <c r="EF15" i="3"/>
  <c r="EF16" i="3"/>
  <c r="EF17" i="3"/>
  <c r="EF18" i="3"/>
  <c r="EF19" i="3"/>
  <c r="EF20" i="3"/>
  <c r="EF21" i="3"/>
  <c r="EF22" i="3"/>
  <c r="EF23" i="3"/>
  <c r="EF24" i="3"/>
  <c r="EF25" i="3"/>
  <c r="EF26" i="3"/>
  <c r="EF27" i="3"/>
  <c r="EF28" i="3"/>
  <c r="EF29" i="3"/>
  <c r="EF30" i="3"/>
  <c r="EF31" i="3"/>
  <c r="EF32" i="3"/>
  <c r="EF33" i="3"/>
  <c r="EF8" i="3"/>
  <c r="DZ9" i="3"/>
  <c r="DZ10" i="3"/>
  <c r="DZ11" i="3"/>
  <c r="DZ12" i="3"/>
  <c r="DZ13" i="3"/>
  <c r="DZ14" i="3"/>
  <c r="DZ15" i="3"/>
  <c r="DZ16" i="3"/>
  <c r="DZ17" i="3"/>
  <c r="DZ18" i="3"/>
  <c r="DZ19" i="3"/>
  <c r="DZ20" i="3"/>
  <c r="DZ21" i="3"/>
  <c r="DZ22" i="3"/>
  <c r="DZ23" i="3"/>
  <c r="DZ24" i="3"/>
  <c r="DZ25" i="3"/>
  <c r="DZ26" i="3"/>
  <c r="DZ27" i="3"/>
  <c r="DZ28" i="3"/>
  <c r="DZ29" i="3"/>
  <c r="DZ30" i="3"/>
  <c r="DZ31" i="3"/>
  <c r="DZ32" i="3"/>
  <c r="DZ33" i="3"/>
  <c r="DU33" i="3"/>
  <c r="DU32" i="3"/>
  <c r="DU31" i="3"/>
  <c r="DU30" i="3"/>
  <c r="DU29" i="3"/>
  <c r="DU28" i="3"/>
  <c r="DU27" i="3"/>
  <c r="DU26" i="3"/>
  <c r="DU25" i="3"/>
  <c r="DU24" i="3"/>
  <c r="DU23" i="3"/>
  <c r="DU22" i="3"/>
  <c r="DU21" i="3"/>
  <c r="DU20" i="3"/>
  <c r="DU19" i="3"/>
  <c r="DU18" i="3"/>
  <c r="DU17" i="3"/>
  <c r="DU16" i="3"/>
  <c r="DU15" i="3"/>
  <c r="DU14" i="3"/>
  <c r="DU13" i="3"/>
  <c r="DU12" i="3"/>
  <c r="DU11" i="3"/>
  <c r="DU10" i="3"/>
  <c r="DU9" i="3"/>
  <c r="DP9" i="3"/>
  <c r="DP10" i="3"/>
  <c r="DP11" i="3"/>
  <c r="DP12" i="3"/>
  <c r="DP13" i="3"/>
  <c r="DP14" i="3"/>
  <c r="DP15" i="3"/>
  <c r="DP16" i="3"/>
  <c r="DP17" i="3"/>
  <c r="DP18" i="3"/>
  <c r="DP19" i="3"/>
  <c r="DP20" i="3"/>
  <c r="DP21" i="3"/>
  <c r="DP22" i="3"/>
  <c r="DP23" i="3"/>
  <c r="DP24" i="3"/>
  <c r="DP25" i="3"/>
  <c r="DP26" i="3"/>
  <c r="DP27" i="3"/>
  <c r="DP28" i="3"/>
  <c r="DP29" i="3"/>
  <c r="DP30" i="3"/>
  <c r="DP31" i="3"/>
  <c r="DP32" i="3"/>
  <c r="DP33" i="3"/>
  <c r="DP34" i="3" l="1"/>
  <c r="CX33" i="3"/>
  <c r="CZ33" i="3" s="1"/>
  <c r="CX32" i="3"/>
  <c r="CZ32" i="3" s="1"/>
  <c r="CX31" i="3"/>
  <c r="CZ31" i="3" s="1"/>
  <c r="CX30" i="3"/>
  <c r="CZ30" i="3" s="1"/>
  <c r="CX29" i="3"/>
  <c r="CZ29" i="3" s="1"/>
  <c r="CX28" i="3"/>
  <c r="CZ28" i="3" s="1"/>
  <c r="CX27" i="3"/>
  <c r="CZ27" i="3" s="1"/>
  <c r="CX26" i="3"/>
  <c r="CZ26" i="3" s="1"/>
  <c r="CX25" i="3"/>
  <c r="CZ25" i="3" s="1"/>
  <c r="CX24" i="3"/>
  <c r="CZ24" i="3" s="1"/>
  <c r="CX23" i="3"/>
  <c r="CZ23" i="3" s="1"/>
  <c r="CX22" i="3"/>
  <c r="CZ22" i="3" s="1"/>
  <c r="CX21" i="3"/>
  <c r="CZ21" i="3" s="1"/>
  <c r="CX20" i="3"/>
  <c r="CZ20" i="3" s="1"/>
  <c r="CX19" i="3"/>
  <c r="CZ19" i="3" s="1"/>
  <c r="CX18" i="3"/>
  <c r="CZ18" i="3" s="1"/>
  <c r="CX17" i="3"/>
  <c r="CZ17" i="3" s="1"/>
  <c r="CX16" i="3"/>
  <c r="CZ16" i="3" s="1"/>
  <c r="CX15" i="3"/>
  <c r="CZ15" i="3" s="1"/>
  <c r="CX14" i="3"/>
  <c r="CZ14" i="3" s="1"/>
  <c r="CX13" i="3"/>
  <c r="CZ13" i="3" s="1"/>
  <c r="CX12" i="3"/>
  <c r="CZ12" i="3" s="1"/>
  <c r="CX11" i="3"/>
  <c r="CZ11" i="3" s="1"/>
  <c r="CX10" i="3"/>
  <c r="CZ10" i="3" s="1"/>
  <c r="CX9" i="3"/>
  <c r="CZ9" i="3" s="1"/>
  <c r="CI9" i="3"/>
  <c r="CI10" i="3"/>
  <c r="CI11" i="3"/>
  <c r="CI12" i="3"/>
  <c r="CI13" i="3"/>
  <c r="CI14" i="3"/>
  <c r="CI15" i="3"/>
  <c r="CI16" i="3"/>
  <c r="CI17" i="3"/>
  <c r="CI18" i="3"/>
  <c r="CI19" i="3"/>
  <c r="CI20" i="3"/>
  <c r="CI21" i="3"/>
  <c r="CI22" i="3"/>
  <c r="CI23" i="3"/>
  <c r="CI24" i="3"/>
  <c r="CI25" i="3"/>
  <c r="CI26" i="3"/>
  <c r="CI27" i="3"/>
  <c r="CI28" i="3"/>
  <c r="CI29" i="3"/>
  <c r="CI30" i="3"/>
  <c r="CI31" i="3"/>
  <c r="CI32" i="3"/>
  <c r="CI33" i="3"/>
  <c r="CG9" i="3"/>
  <c r="CG10" i="3"/>
  <c r="CG11" i="3"/>
  <c r="CG12" i="3"/>
  <c r="CG13" i="3"/>
  <c r="CG14" i="3"/>
  <c r="CG15" i="3"/>
  <c r="CG16" i="3"/>
  <c r="CG17" i="3"/>
  <c r="CG18" i="3"/>
  <c r="CG19" i="3"/>
  <c r="CG20" i="3"/>
  <c r="CG21" i="3"/>
  <c r="CG22" i="3"/>
  <c r="CG23" i="3"/>
  <c r="CG24" i="3"/>
  <c r="CG25" i="3"/>
  <c r="CG26" i="3"/>
  <c r="CG27" i="3"/>
  <c r="CG28" i="3"/>
  <c r="CG29" i="3"/>
  <c r="CG30" i="3"/>
  <c r="CG31" i="3"/>
  <c r="CG32" i="3"/>
  <c r="CG33" i="3"/>
  <c r="CN35" i="3"/>
  <c r="L34" i="4"/>
  <c r="L33" i="4"/>
  <c r="L32" i="4"/>
  <c r="L31" i="4"/>
  <c r="L30" i="4"/>
  <c r="L29" i="4"/>
  <c r="L28" i="4"/>
  <c r="L27" i="4"/>
  <c r="L26" i="4"/>
  <c r="L25" i="4"/>
  <c r="L24" i="4"/>
  <c r="L23" i="4"/>
  <c r="L22" i="4"/>
  <c r="L21" i="4"/>
  <c r="L20" i="4"/>
  <c r="L18" i="4"/>
  <c r="L17" i="4"/>
  <c r="L16" i="4"/>
  <c r="L15" i="4"/>
  <c r="L14" i="4"/>
  <c r="L13" i="4"/>
  <c r="L12" i="4"/>
  <c r="L11" i="4"/>
  <c r="L10" i="4"/>
  <c r="CL9" i="3"/>
  <c r="CL10" i="3"/>
  <c r="CL11" i="3"/>
  <c r="CL12" i="3"/>
  <c r="CL13" i="3"/>
  <c r="CL14" i="3"/>
  <c r="CL15" i="3"/>
  <c r="CL16" i="3"/>
  <c r="CL17" i="3"/>
  <c r="CL18" i="3"/>
  <c r="CL19" i="3"/>
  <c r="CL20" i="3"/>
  <c r="CL21" i="3"/>
  <c r="CL22" i="3"/>
  <c r="CL23" i="3"/>
  <c r="CL24" i="3"/>
  <c r="CL25" i="3"/>
  <c r="CL26" i="3"/>
  <c r="CL27" i="3"/>
  <c r="CL28" i="3"/>
  <c r="CL29" i="3"/>
  <c r="CL30" i="3"/>
  <c r="CL31" i="3"/>
  <c r="CL32" i="3"/>
  <c r="CL33" i="3"/>
  <c r="CC33" i="3"/>
  <c r="CC32" i="3"/>
  <c r="CC31" i="3"/>
  <c r="CC30" i="3"/>
  <c r="CC29" i="3"/>
  <c r="CC28" i="3"/>
  <c r="CC27" i="3"/>
  <c r="CC26" i="3"/>
  <c r="CC25" i="3"/>
  <c r="CC24" i="3"/>
  <c r="CC23" i="3"/>
  <c r="CC22" i="3"/>
  <c r="CC21" i="3"/>
  <c r="CC20" i="3"/>
  <c r="CC19" i="3"/>
  <c r="CC18" i="3"/>
  <c r="CC17" i="3"/>
  <c r="CC16" i="3"/>
  <c r="CC15" i="3"/>
  <c r="CC14" i="3"/>
  <c r="CC13" i="3"/>
  <c r="CC12" i="3"/>
  <c r="CC11" i="3"/>
  <c r="CC10" i="3"/>
  <c r="CC9" i="3"/>
  <c r="CA9" i="3"/>
  <c r="CA10" i="3"/>
  <c r="CA11" i="3"/>
  <c r="CA12" i="3"/>
  <c r="CA13" i="3"/>
  <c r="CA14" i="3"/>
  <c r="CA15" i="3"/>
  <c r="CA16" i="3"/>
  <c r="CA17" i="3"/>
  <c r="CA18" i="3"/>
  <c r="CA19" i="3"/>
  <c r="CA20" i="3"/>
  <c r="CA21" i="3"/>
  <c r="CA22" i="3"/>
  <c r="CA23" i="3"/>
  <c r="CA24" i="3"/>
  <c r="CA25" i="3"/>
  <c r="CA26" i="3"/>
  <c r="CA27" i="3"/>
  <c r="CA28" i="3"/>
  <c r="CA29" i="3"/>
  <c r="CA30" i="3"/>
  <c r="CA31" i="3"/>
  <c r="CA32" i="3"/>
  <c r="CA33" i="3"/>
  <c r="CI66" i="3" l="1"/>
  <c r="L19" i="4"/>
  <c r="CX66" i="3"/>
  <c r="L9" i="4"/>
  <c r="BW9" i="3" l="1"/>
  <c r="BW10" i="3"/>
  <c r="BW11" i="3"/>
  <c r="BW12" i="3"/>
  <c r="BW13" i="3"/>
  <c r="BW14" i="3"/>
  <c r="BW15" i="3"/>
  <c r="BW16" i="3"/>
  <c r="BW17" i="3"/>
  <c r="BW18" i="3"/>
  <c r="BW19" i="3"/>
  <c r="BW20" i="3"/>
  <c r="BW21" i="3"/>
  <c r="BW22" i="3"/>
  <c r="BW23" i="3"/>
  <c r="BW24" i="3"/>
  <c r="BW25" i="3"/>
  <c r="BW26" i="3"/>
  <c r="BW27" i="3"/>
  <c r="BW28" i="3"/>
  <c r="BW29" i="3"/>
  <c r="BW30" i="3"/>
  <c r="BW31" i="3"/>
  <c r="BW32" i="3"/>
  <c r="BW33" i="3"/>
  <c r="BW8" i="3"/>
  <c r="BQ12" i="3"/>
  <c r="BQ13" i="3"/>
  <c r="BQ14" i="3"/>
  <c r="BQ15" i="3"/>
  <c r="BQ16" i="3"/>
  <c r="BQ17" i="3"/>
  <c r="BQ18" i="3"/>
  <c r="BQ19" i="3"/>
  <c r="BQ20" i="3"/>
  <c r="BQ21" i="3"/>
  <c r="BQ22" i="3"/>
  <c r="BQ23" i="3"/>
  <c r="BQ24" i="3"/>
  <c r="BQ25" i="3"/>
  <c r="BQ26" i="3"/>
  <c r="BQ27" i="3"/>
  <c r="BQ28" i="3"/>
  <c r="BQ29" i="3"/>
  <c r="BQ30" i="3"/>
  <c r="BQ31" i="3"/>
  <c r="BQ32" i="3"/>
  <c r="BQ33" i="3"/>
  <c r="BI12" i="3"/>
  <c r="BI13" i="3"/>
  <c r="BI14" i="3"/>
  <c r="BI15" i="3"/>
  <c r="BI16" i="3"/>
  <c r="BI17" i="3"/>
  <c r="BI18" i="3"/>
  <c r="BI19" i="3"/>
  <c r="BI20" i="3"/>
  <c r="BI21" i="3"/>
  <c r="BI22" i="3"/>
  <c r="BI23" i="3"/>
  <c r="BI24" i="3"/>
  <c r="BI25" i="3"/>
  <c r="BI26" i="3"/>
  <c r="BI27" i="3"/>
  <c r="BI28" i="3"/>
  <c r="BI29" i="3"/>
  <c r="BI30" i="3"/>
  <c r="BI31" i="3"/>
  <c r="BI32" i="3"/>
  <c r="BI33" i="3"/>
  <c r="BC12" i="3"/>
  <c r="BC13" i="3"/>
  <c r="BC14" i="3"/>
  <c r="BC15" i="3"/>
  <c r="BC16" i="3"/>
  <c r="BC17" i="3"/>
  <c r="BC18" i="3"/>
  <c r="BC19" i="3"/>
  <c r="BC20" i="3"/>
  <c r="BC21" i="3"/>
  <c r="BC22" i="3"/>
  <c r="BC23" i="3"/>
  <c r="BC24" i="3"/>
  <c r="BC25" i="3"/>
  <c r="BC26" i="3"/>
  <c r="BC27" i="3"/>
  <c r="BC28" i="3"/>
  <c r="BC29" i="3"/>
  <c r="BC30" i="3"/>
  <c r="BC31" i="3"/>
  <c r="BC32" i="3"/>
  <c r="BC33" i="3"/>
  <c r="X11" i="3" l="1"/>
  <c r="X12" i="3"/>
  <c r="X13" i="3"/>
  <c r="X14" i="3"/>
  <c r="X15" i="3"/>
  <c r="X16" i="3"/>
  <c r="X17" i="3"/>
  <c r="X18" i="3"/>
  <c r="X19" i="3"/>
  <c r="X20" i="3"/>
  <c r="X21" i="3"/>
  <c r="X22" i="3"/>
  <c r="X23" i="3"/>
  <c r="X24" i="3"/>
  <c r="X25" i="3"/>
  <c r="X26" i="3"/>
  <c r="X27" i="3"/>
  <c r="X28" i="3"/>
  <c r="X29" i="3"/>
  <c r="X30" i="3"/>
  <c r="X31" i="3"/>
  <c r="X32" i="3"/>
  <c r="X33" i="3"/>
  <c r="U34" i="3"/>
  <c r="V34" i="3"/>
  <c r="W34" i="3"/>
  <c r="T34" i="3"/>
  <c r="AC11" i="3"/>
  <c r="AC12" i="3"/>
  <c r="AC13" i="3"/>
  <c r="AC14" i="3"/>
  <c r="AC15" i="3"/>
  <c r="AC16" i="3"/>
  <c r="AC17" i="3"/>
  <c r="AC18" i="3"/>
  <c r="AC19" i="3"/>
  <c r="AC20" i="3"/>
  <c r="AC21" i="3"/>
  <c r="AC22" i="3"/>
  <c r="AC23" i="3"/>
  <c r="AC24" i="3"/>
  <c r="AC25" i="3"/>
  <c r="AC26" i="3"/>
  <c r="AC27" i="3"/>
  <c r="AC28" i="3"/>
  <c r="AC29" i="3"/>
  <c r="AC30" i="3"/>
  <c r="AC31" i="3"/>
  <c r="AC32" i="3"/>
  <c r="AC33" i="3"/>
  <c r="S11" i="3"/>
  <c r="BK11" i="3" s="1"/>
  <c r="S12" i="3"/>
  <c r="S13" i="3"/>
  <c r="S14" i="3"/>
  <c r="S15" i="3"/>
  <c r="S16" i="3"/>
  <c r="S17" i="3"/>
  <c r="S18" i="3"/>
  <c r="S19" i="3"/>
  <c r="S20" i="3"/>
  <c r="S21" i="3"/>
  <c r="S22" i="3"/>
  <c r="S23" i="3"/>
  <c r="S24" i="3"/>
  <c r="S25" i="3"/>
  <c r="S26" i="3"/>
  <c r="S27" i="3"/>
  <c r="S28" i="3"/>
  <c r="S29" i="3"/>
  <c r="S30" i="3"/>
  <c r="S31" i="3"/>
  <c r="S32" i="3"/>
  <c r="S33" i="3"/>
  <c r="K9" i="3"/>
  <c r="AE9" i="3" s="1"/>
  <c r="AJ9" i="3" s="1"/>
  <c r="K10" i="3"/>
  <c r="AE10" i="3" s="1"/>
  <c r="AJ10" i="3" s="1"/>
  <c r="K11" i="3"/>
  <c r="K12" i="3"/>
  <c r="K13" i="3"/>
  <c r="K14" i="3"/>
  <c r="K15" i="3"/>
  <c r="K16" i="3"/>
  <c r="K17" i="3"/>
  <c r="K18" i="3"/>
  <c r="K19" i="3"/>
  <c r="K20" i="3"/>
  <c r="K21" i="3"/>
  <c r="K22" i="3"/>
  <c r="K23" i="3"/>
  <c r="K24" i="3"/>
  <c r="K25" i="3"/>
  <c r="K26" i="3"/>
  <c r="K27" i="3"/>
  <c r="K28" i="3"/>
  <c r="K29" i="3"/>
  <c r="K30" i="3"/>
  <c r="K31" i="3"/>
  <c r="K32" i="3"/>
  <c r="K33" i="3"/>
  <c r="F9" i="3"/>
  <c r="AD9" i="3" s="1"/>
  <c r="F10" i="3"/>
  <c r="AD10" i="3" s="1"/>
  <c r="F11" i="3"/>
  <c r="F12" i="3"/>
  <c r="F13" i="3"/>
  <c r="F14" i="3"/>
  <c r="F15" i="3"/>
  <c r="F16" i="3"/>
  <c r="F17" i="3"/>
  <c r="F18" i="3"/>
  <c r="F19" i="3"/>
  <c r="F20" i="3"/>
  <c r="F21" i="3"/>
  <c r="F22" i="3"/>
  <c r="F23" i="3"/>
  <c r="F24" i="3"/>
  <c r="F25" i="3"/>
  <c r="F26" i="3"/>
  <c r="F27" i="3"/>
  <c r="F28" i="3"/>
  <c r="F29" i="3"/>
  <c r="F30" i="3"/>
  <c r="F31" i="3"/>
  <c r="F32" i="3"/>
  <c r="F33" i="3"/>
  <c r="O11" i="3"/>
  <c r="BJ11" i="3" s="1"/>
  <c r="O12" i="3"/>
  <c r="O13" i="3"/>
  <c r="O14" i="3"/>
  <c r="O15" i="3"/>
  <c r="O16" i="3"/>
  <c r="O17" i="3"/>
  <c r="O18" i="3"/>
  <c r="O19" i="3"/>
  <c r="O20" i="3"/>
  <c r="O21" i="3"/>
  <c r="O22" i="3"/>
  <c r="O23" i="3"/>
  <c r="O24" i="3"/>
  <c r="O25" i="3"/>
  <c r="O26" i="3"/>
  <c r="O27" i="3"/>
  <c r="O28" i="3"/>
  <c r="O29" i="3"/>
  <c r="O30" i="3"/>
  <c r="O31" i="3"/>
  <c r="O32" i="3"/>
  <c r="O33" i="3"/>
  <c r="BL11" i="3" l="1"/>
  <c r="AF10" i="3"/>
  <c r="AH10" i="3"/>
  <c r="AH9" i="3"/>
  <c r="AF9" i="3"/>
  <c r="P141" i="1" l="1"/>
  <c r="KG34" i="3" l="1"/>
  <c r="KI34" i="3"/>
  <c r="KE33" i="3"/>
  <c r="KE32" i="3"/>
  <c r="KE31" i="3"/>
  <c r="KE30" i="3"/>
  <c r="KE29" i="3"/>
  <c r="KE28" i="3"/>
  <c r="KE27" i="3"/>
  <c r="KE26" i="3"/>
  <c r="KE25" i="3"/>
  <c r="KE24" i="3"/>
  <c r="KE23" i="3"/>
  <c r="KE22" i="3"/>
  <c r="KE21" i="3"/>
  <c r="KE20" i="3"/>
  <c r="KE19" i="3"/>
  <c r="KE18" i="3"/>
  <c r="KE17" i="3"/>
  <c r="KE16" i="3"/>
  <c r="KE15" i="3"/>
  <c r="KE14" i="3"/>
  <c r="KE13" i="3"/>
  <c r="KE12" i="3"/>
  <c r="KE11" i="3"/>
  <c r="KE10" i="3"/>
  <c r="KE9" i="3"/>
  <c r="KA34" i="3"/>
  <c r="KA36" i="3" s="1"/>
  <c r="KF34" i="3"/>
  <c r="KF36" i="3" s="1"/>
  <c r="KE34" i="3" l="1"/>
  <c r="KE36" i="3" s="1"/>
  <c r="KH34" i="3"/>
  <c r="F32" i="15" l="1"/>
  <c r="F23" i="15" l="1"/>
  <c r="F19" i="15"/>
  <c r="F13" i="15"/>
  <c r="F14" i="15"/>
  <c r="F35" i="15"/>
  <c r="F34" i="15"/>
  <c r="JS67" i="3" l="1"/>
  <c r="F3" i="15"/>
  <c r="F7" i="15" l="1"/>
  <c r="F4" i="15"/>
  <c r="E8" i="15"/>
  <c r="H6" i="15" s="1"/>
  <c r="D8" i="15"/>
  <c r="G6" i="15" s="1"/>
  <c r="F6" i="15"/>
  <c r="Q32" i="15" s="1"/>
  <c r="F8" i="15" l="1"/>
  <c r="GC43" i="3" l="1"/>
  <c r="GB43" i="3"/>
  <c r="Q131" i="1" l="1"/>
  <c r="Q130" i="1"/>
  <c r="Q132" i="1"/>
  <c r="CT35" i="3" l="1"/>
  <c r="CT36" i="3" l="1"/>
  <c r="BY35" i="3" l="1"/>
  <c r="BY34" i="3"/>
  <c r="BY36" i="3" l="1"/>
  <c r="K10" i="5" l="1"/>
  <c r="I11" i="5"/>
  <c r="Y10" i="12"/>
  <c r="I12" i="5" s="1"/>
  <c r="Y11" i="12"/>
  <c r="I13" i="5" s="1"/>
  <c r="Y12" i="12"/>
  <c r="I14" i="5" s="1"/>
  <c r="Y13" i="12"/>
  <c r="I15" i="5" s="1"/>
  <c r="Y14" i="12"/>
  <c r="I16" i="5" s="1"/>
  <c r="Y15" i="12"/>
  <c r="I17" i="5" s="1"/>
  <c r="Y16" i="12"/>
  <c r="I18" i="5" s="1"/>
  <c r="Y17" i="12"/>
  <c r="I19" i="5" s="1"/>
  <c r="Y18" i="12"/>
  <c r="I20" i="5" s="1"/>
  <c r="Y19" i="12"/>
  <c r="I21" i="5" s="1"/>
  <c r="Y20" i="12"/>
  <c r="I22" i="5" s="1"/>
  <c r="Y21" i="12"/>
  <c r="I23" i="5" s="1"/>
  <c r="Y22" i="12"/>
  <c r="I24" i="5" s="1"/>
  <c r="Y23" i="12"/>
  <c r="I25" i="5" s="1"/>
  <c r="Y24" i="12"/>
  <c r="I26" i="5" s="1"/>
  <c r="Y25" i="12"/>
  <c r="I27" i="5" s="1"/>
  <c r="Y26" i="12"/>
  <c r="I28" i="5" s="1"/>
  <c r="Y27" i="12"/>
  <c r="I29" i="5" s="1"/>
  <c r="Y28" i="12"/>
  <c r="I30" i="5" s="1"/>
  <c r="Y29" i="12"/>
  <c r="I31" i="5" s="1"/>
  <c r="Y30" i="12"/>
  <c r="I32" i="5" s="1"/>
  <c r="Y31" i="12"/>
  <c r="I33" i="5" s="1"/>
  <c r="Y32" i="12"/>
  <c r="I34" i="5" s="1"/>
  <c r="Y33" i="12"/>
  <c r="I35" i="5" s="1"/>
  <c r="J11" i="5"/>
  <c r="AB10" i="12"/>
  <c r="J12" i="5" s="1"/>
  <c r="AB11" i="12"/>
  <c r="J13" i="5" s="1"/>
  <c r="AB12" i="12"/>
  <c r="J14" i="5" s="1"/>
  <c r="AB13" i="12"/>
  <c r="J15" i="5" s="1"/>
  <c r="AB14" i="12"/>
  <c r="J16" i="5" s="1"/>
  <c r="AB15" i="12"/>
  <c r="J17" i="5" s="1"/>
  <c r="AB16" i="12"/>
  <c r="J18" i="5" s="1"/>
  <c r="AB17" i="12"/>
  <c r="J19" i="5" s="1"/>
  <c r="AB18" i="12"/>
  <c r="J20" i="5" s="1"/>
  <c r="AB19" i="12"/>
  <c r="J21" i="5" s="1"/>
  <c r="AB20" i="12"/>
  <c r="J22" i="5" s="1"/>
  <c r="AB21" i="12"/>
  <c r="J23" i="5" s="1"/>
  <c r="AB22" i="12"/>
  <c r="J24" i="5" s="1"/>
  <c r="AB23" i="12"/>
  <c r="J25" i="5" s="1"/>
  <c r="AB24" i="12"/>
  <c r="J26" i="5" s="1"/>
  <c r="AB25" i="12"/>
  <c r="J27" i="5" s="1"/>
  <c r="AB26" i="12"/>
  <c r="J28" i="5" s="1"/>
  <c r="AB27" i="12"/>
  <c r="J29" i="5" s="1"/>
  <c r="AB28" i="12"/>
  <c r="J30" i="5" s="1"/>
  <c r="AB29" i="12"/>
  <c r="J31" i="5" s="1"/>
  <c r="AB30" i="12"/>
  <c r="J32" i="5" s="1"/>
  <c r="AB31" i="12"/>
  <c r="J33" i="5" s="1"/>
  <c r="AB32" i="12"/>
  <c r="J34" i="5" s="1"/>
  <c r="AB33" i="12"/>
  <c r="J35" i="5" s="1"/>
  <c r="K11" i="5"/>
  <c r="AE10" i="12"/>
  <c r="K12" i="5" s="1"/>
  <c r="AE11" i="12"/>
  <c r="K13" i="5" s="1"/>
  <c r="AE12" i="12"/>
  <c r="K14" i="5" s="1"/>
  <c r="AE13" i="12"/>
  <c r="K15" i="5" s="1"/>
  <c r="AE14" i="12"/>
  <c r="K16" i="5" s="1"/>
  <c r="AE15" i="12"/>
  <c r="K17" i="5" s="1"/>
  <c r="AE16" i="12"/>
  <c r="K18" i="5" s="1"/>
  <c r="AE17" i="12"/>
  <c r="K19" i="5" s="1"/>
  <c r="AE18" i="12"/>
  <c r="K20" i="5" s="1"/>
  <c r="AE19" i="12"/>
  <c r="K21" i="5" s="1"/>
  <c r="AE20" i="12"/>
  <c r="K22" i="5" s="1"/>
  <c r="AE21" i="12"/>
  <c r="K23" i="5" s="1"/>
  <c r="AE22" i="12"/>
  <c r="K24" i="5" s="1"/>
  <c r="AE23" i="12"/>
  <c r="K25" i="5" s="1"/>
  <c r="AE24" i="12"/>
  <c r="K26" i="5" s="1"/>
  <c r="AE25" i="12"/>
  <c r="K27" i="5" s="1"/>
  <c r="AE26" i="12"/>
  <c r="K28" i="5" s="1"/>
  <c r="AE27" i="12"/>
  <c r="K29" i="5" s="1"/>
  <c r="AE28" i="12"/>
  <c r="K30" i="5" s="1"/>
  <c r="AE29" i="12"/>
  <c r="K31" i="5" s="1"/>
  <c r="AE30" i="12"/>
  <c r="K32" i="5" s="1"/>
  <c r="AE31" i="12"/>
  <c r="K33" i="5" s="1"/>
  <c r="AE32" i="12"/>
  <c r="K34" i="5" s="1"/>
  <c r="AE33" i="12"/>
  <c r="K35" i="5" s="1"/>
  <c r="J10" i="5"/>
  <c r="I10" i="5"/>
  <c r="S9" i="12"/>
  <c r="S10" i="12"/>
  <c r="S11" i="12"/>
  <c r="S12" i="12"/>
  <c r="S13" i="12"/>
  <c r="S14" i="12"/>
  <c r="S15" i="12"/>
  <c r="S16" i="12"/>
  <c r="S17" i="12"/>
  <c r="S18" i="12"/>
  <c r="S19" i="12"/>
  <c r="S20" i="12"/>
  <c r="S21" i="12"/>
  <c r="S22" i="12"/>
  <c r="S23" i="12"/>
  <c r="S24" i="12"/>
  <c r="S25" i="12"/>
  <c r="S26" i="12"/>
  <c r="S27" i="12"/>
  <c r="S28" i="12"/>
  <c r="S29" i="12"/>
  <c r="S30" i="12"/>
  <c r="S31" i="12"/>
  <c r="S32" i="12"/>
  <c r="S33" i="12"/>
  <c r="S8" i="12"/>
  <c r="G31" i="5" l="1"/>
  <c r="BI59" i="3"/>
  <c r="G23" i="5"/>
  <c r="BI51" i="3"/>
  <c r="G15" i="5"/>
  <c r="BI43" i="3"/>
  <c r="G30" i="5"/>
  <c r="BI58" i="3"/>
  <c r="G22" i="5"/>
  <c r="BI50" i="3"/>
  <c r="G14" i="5"/>
  <c r="BI42" i="3"/>
  <c r="G33" i="5"/>
  <c r="BI61" i="3"/>
  <c r="G29" i="5"/>
  <c r="BI57" i="3"/>
  <c r="G25" i="5"/>
  <c r="BI53" i="3"/>
  <c r="G21" i="5"/>
  <c r="BI49" i="3"/>
  <c r="G17" i="5"/>
  <c r="BI45" i="3"/>
  <c r="G13" i="5"/>
  <c r="BI41" i="3"/>
  <c r="G35" i="5"/>
  <c r="BI63" i="3"/>
  <c r="G27" i="5"/>
  <c r="BI55" i="3"/>
  <c r="G19" i="5"/>
  <c r="BI47" i="3"/>
  <c r="G11" i="5"/>
  <c r="BI39" i="3"/>
  <c r="G34" i="5"/>
  <c r="BI62" i="3"/>
  <c r="G26" i="5"/>
  <c r="BI54" i="3"/>
  <c r="G18" i="5"/>
  <c r="BI46" i="3"/>
  <c r="G10" i="5"/>
  <c r="BI38" i="3"/>
  <c r="G32" i="5"/>
  <c r="BI60" i="3"/>
  <c r="G28" i="5"/>
  <c r="BI56" i="3"/>
  <c r="G24" i="5"/>
  <c r="BI52" i="3"/>
  <c r="G20" i="5"/>
  <c r="BI48" i="3"/>
  <c r="G16" i="5"/>
  <c r="BI44" i="3"/>
  <c r="G12" i="5"/>
  <c r="BI40" i="3"/>
  <c r="J36" i="5"/>
  <c r="K36" i="5"/>
  <c r="I36" i="5"/>
  <c r="H36" i="5"/>
  <c r="B11" i="5"/>
  <c r="E11" i="5"/>
  <c r="O11" i="5" s="1"/>
  <c r="F11" i="5"/>
  <c r="P11" i="5" s="1"/>
  <c r="B12" i="5"/>
  <c r="C12" i="5"/>
  <c r="M12" i="5" s="1"/>
  <c r="E12" i="5"/>
  <c r="O12" i="5" s="1"/>
  <c r="C13" i="5"/>
  <c r="M13" i="5" s="1"/>
  <c r="F14" i="5"/>
  <c r="P14" i="5" s="1"/>
  <c r="B15" i="5"/>
  <c r="C15" i="5"/>
  <c r="M15" i="5" s="1"/>
  <c r="B16" i="5"/>
  <c r="E16" i="5"/>
  <c r="O16" i="5" s="1"/>
  <c r="D18" i="5"/>
  <c r="N18" i="5" s="1"/>
  <c r="F18" i="5"/>
  <c r="B19" i="5"/>
  <c r="E19" i="5"/>
  <c r="O19" i="5" s="1"/>
  <c r="B20" i="5"/>
  <c r="C20" i="5"/>
  <c r="M20" i="5" s="1"/>
  <c r="E20" i="5"/>
  <c r="O20" i="5" s="1"/>
  <c r="C21" i="5"/>
  <c r="D22" i="5"/>
  <c r="N22" i="5" s="1"/>
  <c r="F22" i="5"/>
  <c r="P22" i="5" s="1"/>
  <c r="B23" i="5"/>
  <c r="C23" i="5"/>
  <c r="M23" i="5" s="1"/>
  <c r="B24" i="5"/>
  <c r="D25" i="5"/>
  <c r="N25" i="5" s="1"/>
  <c r="D26" i="5"/>
  <c r="N26" i="5" s="1"/>
  <c r="F26" i="5"/>
  <c r="B27" i="5"/>
  <c r="B28" i="5"/>
  <c r="C28" i="5"/>
  <c r="M28" i="5" s="1"/>
  <c r="D28" i="5"/>
  <c r="N28" i="5" s="1"/>
  <c r="E28" i="5"/>
  <c r="O28" i="5" s="1"/>
  <c r="C29" i="5"/>
  <c r="D29" i="5"/>
  <c r="N29" i="5" s="1"/>
  <c r="D30" i="5"/>
  <c r="N30" i="5" s="1"/>
  <c r="F30" i="5"/>
  <c r="P30" i="5" s="1"/>
  <c r="B31" i="5"/>
  <c r="C31" i="5"/>
  <c r="B32" i="5"/>
  <c r="D32" i="5"/>
  <c r="N32" i="5" s="1"/>
  <c r="E32" i="5"/>
  <c r="O32" i="5" s="1"/>
  <c r="D33" i="5"/>
  <c r="N33" i="5" s="1"/>
  <c r="B35" i="5"/>
  <c r="F35" i="5"/>
  <c r="P35" i="5" s="1"/>
  <c r="F10" i="5"/>
  <c r="D10" i="5"/>
  <c r="B10" i="5"/>
  <c r="Q34" i="12"/>
  <c r="R34" i="12"/>
  <c r="S34" i="12"/>
  <c r="T34" i="12"/>
  <c r="U34" i="12"/>
  <c r="W34" i="12"/>
  <c r="X34" i="12"/>
  <c r="Y34" i="12"/>
  <c r="Z34" i="12"/>
  <c r="AA34" i="12"/>
  <c r="AB34" i="12"/>
  <c r="AC34" i="12"/>
  <c r="AD34" i="12"/>
  <c r="AE34" i="12"/>
  <c r="O34" i="12"/>
  <c r="N34" i="12"/>
  <c r="L34" i="12"/>
  <c r="K34" i="12"/>
  <c r="I34" i="12"/>
  <c r="H34" i="12"/>
  <c r="F34" i="12"/>
  <c r="E34" i="12"/>
  <c r="C34" i="12"/>
  <c r="B34" i="12"/>
  <c r="E35" i="5"/>
  <c r="O35" i="5" s="1"/>
  <c r="D35" i="5"/>
  <c r="N35" i="5" s="1"/>
  <c r="C35" i="5"/>
  <c r="M35" i="5" s="1"/>
  <c r="F34" i="5"/>
  <c r="P34" i="5" s="1"/>
  <c r="E34" i="5"/>
  <c r="O34" i="5" s="1"/>
  <c r="D34" i="5"/>
  <c r="N34" i="5" s="1"/>
  <c r="C34" i="5"/>
  <c r="M34" i="5" s="1"/>
  <c r="B34" i="5"/>
  <c r="F33" i="5"/>
  <c r="P33" i="5" s="1"/>
  <c r="E33" i="5"/>
  <c r="O33" i="5" s="1"/>
  <c r="C33" i="5"/>
  <c r="M33" i="5" s="1"/>
  <c r="B33" i="5"/>
  <c r="F32" i="5"/>
  <c r="P32" i="5" s="1"/>
  <c r="C32" i="5"/>
  <c r="F31" i="5"/>
  <c r="P31" i="5" s="1"/>
  <c r="E31" i="5"/>
  <c r="O31" i="5" s="1"/>
  <c r="D31" i="5"/>
  <c r="N31" i="5" s="1"/>
  <c r="E30" i="5"/>
  <c r="O30" i="5" s="1"/>
  <c r="C30" i="5"/>
  <c r="M30" i="5" s="1"/>
  <c r="B30" i="5"/>
  <c r="F29" i="5"/>
  <c r="P29" i="5" s="1"/>
  <c r="E29" i="5"/>
  <c r="O29" i="5" s="1"/>
  <c r="B29" i="5"/>
  <c r="F28" i="5"/>
  <c r="P28" i="5" s="1"/>
  <c r="F27" i="5"/>
  <c r="E27" i="5"/>
  <c r="O27" i="5" s="1"/>
  <c r="D27" i="5"/>
  <c r="N27" i="5" s="1"/>
  <c r="C27" i="5"/>
  <c r="M27" i="5" s="1"/>
  <c r="E26" i="5"/>
  <c r="O26" i="5" s="1"/>
  <c r="C26" i="5"/>
  <c r="M26" i="5" s="1"/>
  <c r="B26" i="5"/>
  <c r="F25" i="5"/>
  <c r="P25" i="5" s="1"/>
  <c r="E25" i="5"/>
  <c r="O25" i="5" s="1"/>
  <c r="C25" i="5"/>
  <c r="M25" i="5" s="1"/>
  <c r="B25" i="5"/>
  <c r="F24" i="5"/>
  <c r="E24" i="5"/>
  <c r="O24" i="5" s="1"/>
  <c r="D24" i="5"/>
  <c r="N24" i="5" s="1"/>
  <c r="C24" i="5"/>
  <c r="M24" i="5" s="1"/>
  <c r="F23" i="5"/>
  <c r="E23" i="5"/>
  <c r="O23" i="5" s="1"/>
  <c r="D23" i="5"/>
  <c r="N23" i="5" s="1"/>
  <c r="E22" i="5"/>
  <c r="O22" i="5" s="1"/>
  <c r="C22" i="5"/>
  <c r="M22" i="5" s="1"/>
  <c r="B22" i="5"/>
  <c r="F21" i="5"/>
  <c r="E21" i="5"/>
  <c r="O21" i="5" s="1"/>
  <c r="D21" i="5"/>
  <c r="N21" i="5" s="1"/>
  <c r="B21" i="5"/>
  <c r="F20" i="5"/>
  <c r="P20" i="5" s="1"/>
  <c r="D20" i="5"/>
  <c r="N20" i="5" s="1"/>
  <c r="F19" i="5"/>
  <c r="P19" i="5" s="1"/>
  <c r="D19" i="5"/>
  <c r="N19" i="5" s="1"/>
  <c r="C19" i="5"/>
  <c r="M19" i="5" s="1"/>
  <c r="E18" i="5"/>
  <c r="O18" i="5" s="1"/>
  <c r="C18" i="5"/>
  <c r="M18" i="5" s="1"/>
  <c r="B18" i="5"/>
  <c r="F17" i="5"/>
  <c r="E17" i="5"/>
  <c r="O17" i="5" s="1"/>
  <c r="D17" i="5"/>
  <c r="N17" i="5" s="1"/>
  <c r="C17" i="5"/>
  <c r="M17" i="5" s="1"/>
  <c r="B17" i="5"/>
  <c r="F16" i="5"/>
  <c r="D16" i="5"/>
  <c r="N16" i="5" s="1"/>
  <c r="C16" i="5"/>
  <c r="M16" i="5" s="1"/>
  <c r="F15" i="5"/>
  <c r="E15" i="5"/>
  <c r="O15" i="5" s="1"/>
  <c r="D15" i="5"/>
  <c r="N15" i="5" s="1"/>
  <c r="E14" i="5"/>
  <c r="O14" i="5" s="1"/>
  <c r="D14" i="5"/>
  <c r="N14" i="5" s="1"/>
  <c r="C14" i="5"/>
  <c r="M14" i="5" s="1"/>
  <c r="B14" i="5"/>
  <c r="F13" i="5"/>
  <c r="E13" i="5"/>
  <c r="O13" i="5" s="1"/>
  <c r="D13" i="5"/>
  <c r="N13" i="5" s="1"/>
  <c r="B13" i="5"/>
  <c r="F12" i="5"/>
  <c r="D12" i="5"/>
  <c r="N12" i="5" s="1"/>
  <c r="D11" i="5"/>
  <c r="N11" i="5" s="1"/>
  <c r="C11" i="5"/>
  <c r="M11" i="5" s="1"/>
  <c r="E10" i="5"/>
  <c r="C10" i="5"/>
  <c r="L12" i="5" l="1"/>
  <c r="L20" i="5"/>
  <c r="L28" i="5"/>
  <c r="L11" i="5"/>
  <c r="L27" i="5"/>
  <c r="L13" i="5"/>
  <c r="L21" i="5"/>
  <c r="L14" i="5"/>
  <c r="L30" i="5"/>
  <c r="L29" i="5"/>
  <c r="L26" i="5"/>
  <c r="L23" i="5"/>
  <c r="L16" i="5"/>
  <c r="L24" i="5"/>
  <c r="L32" i="5"/>
  <c r="L18" i="5"/>
  <c r="L34" i="5"/>
  <c r="L19" i="5"/>
  <c r="L35" i="5"/>
  <c r="L17" i="5"/>
  <c r="L25" i="5"/>
  <c r="L33" i="5"/>
  <c r="L22" i="5"/>
  <c r="L15" i="5"/>
  <c r="L31" i="5"/>
  <c r="G36" i="5"/>
  <c r="L10" i="5"/>
  <c r="N10" i="5"/>
  <c r="F36" i="5"/>
  <c r="O10" i="5"/>
  <c r="E36" i="5"/>
  <c r="O36" i="5" s="1"/>
  <c r="D36" i="5"/>
  <c r="M10" i="5"/>
  <c r="C36" i="5"/>
  <c r="M36" i="5" s="1"/>
  <c r="B36" i="5"/>
  <c r="S35" i="12"/>
  <c r="J34" i="12"/>
  <c r="G34" i="12"/>
  <c r="M34" i="12"/>
  <c r="D34" i="12"/>
  <c r="D37" i="12" s="1"/>
  <c r="P34" i="12"/>
  <c r="N36" i="5" l="1"/>
  <c r="P36" i="5"/>
  <c r="L36" i="5"/>
  <c r="D35" i="12"/>
  <c r="EW9" i="3"/>
  <c r="FA9" i="3" s="1"/>
  <c r="EW10" i="3"/>
  <c r="FA10" i="3" s="1"/>
  <c r="EW11" i="3"/>
  <c r="FA11" i="3" s="1"/>
  <c r="EW12" i="3"/>
  <c r="FA12" i="3" s="1"/>
  <c r="EW13" i="3"/>
  <c r="FA13" i="3" s="1"/>
  <c r="EW14" i="3"/>
  <c r="FA14" i="3" s="1"/>
  <c r="EW15" i="3"/>
  <c r="FA15" i="3" s="1"/>
  <c r="EW16" i="3"/>
  <c r="FA16" i="3" s="1"/>
  <c r="EW17" i="3"/>
  <c r="FA17" i="3" s="1"/>
  <c r="EW18" i="3"/>
  <c r="FA18" i="3" s="1"/>
  <c r="EW19" i="3"/>
  <c r="FA19" i="3" s="1"/>
  <c r="EW20" i="3"/>
  <c r="FA20" i="3" s="1"/>
  <c r="EW21" i="3"/>
  <c r="FA21" i="3" s="1"/>
  <c r="EW22" i="3"/>
  <c r="FA22" i="3" s="1"/>
  <c r="EW23" i="3"/>
  <c r="FA23" i="3" s="1"/>
  <c r="EW24" i="3"/>
  <c r="FA24" i="3" s="1"/>
  <c r="EW25" i="3"/>
  <c r="FA25" i="3" s="1"/>
  <c r="EW26" i="3"/>
  <c r="FA26" i="3" s="1"/>
  <c r="EW27" i="3"/>
  <c r="FA27" i="3" s="1"/>
  <c r="EW28" i="3"/>
  <c r="FA28" i="3" s="1"/>
  <c r="EW29" i="3"/>
  <c r="FA29" i="3" s="1"/>
  <c r="EW30" i="3"/>
  <c r="FA30" i="3" s="1"/>
  <c r="EW31" i="3"/>
  <c r="FA31" i="3" s="1"/>
  <c r="EW32" i="3"/>
  <c r="FA32" i="3" s="1"/>
  <c r="EW33" i="3"/>
  <c r="FA33" i="3" s="1"/>
  <c r="EK9" i="3" l="1"/>
  <c r="EO9" i="3" s="1"/>
  <c r="EK10" i="3"/>
  <c r="EO10" i="3" s="1"/>
  <c r="EK11" i="3"/>
  <c r="EO11" i="3" s="1"/>
  <c r="EK12" i="3"/>
  <c r="EO12" i="3" s="1"/>
  <c r="EK13" i="3"/>
  <c r="EO13" i="3" s="1"/>
  <c r="EK14" i="3"/>
  <c r="EO14" i="3" s="1"/>
  <c r="EK15" i="3"/>
  <c r="EO15" i="3" s="1"/>
  <c r="EK16" i="3"/>
  <c r="EO16" i="3" s="1"/>
  <c r="EK17" i="3"/>
  <c r="EO17" i="3" s="1"/>
  <c r="EK18" i="3"/>
  <c r="EO18" i="3" s="1"/>
  <c r="EK19" i="3"/>
  <c r="EO19" i="3" s="1"/>
  <c r="EK20" i="3"/>
  <c r="EO20" i="3" s="1"/>
  <c r="EK21" i="3"/>
  <c r="EO21" i="3" s="1"/>
  <c r="EK22" i="3"/>
  <c r="EO22" i="3" s="1"/>
  <c r="EK23" i="3"/>
  <c r="EO23" i="3" s="1"/>
  <c r="EK24" i="3"/>
  <c r="EO24" i="3" s="1"/>
  <c r="EK25" i="3"/>
  <c r="EO25" i="3" s="1"/>
  <c r="EK26" i="3"/>
  <c r="EO26" i="3" s="1"/>
  <c r="EK27" i="3"/>
  <c r="EO27" i="3" s="1"/>
  <c r="EK28" i="3"/>
  <c r="EO28" i="3" s="1"/>
  <c r="EK29" i="3"/>
  <c r="EO29" i="3" s="1"/>
  <c r="EK30" i="3"/>
  <c r="EO30" i="3" s="1"/>
  <c r="EK31" i="3"/>
  <c r="EO31" i="3" s="1"/>
  <c r="EK32" i="3"/>
  <c r="EO32" i="3" s="1"/>
  <c r="EK33" i="3"/>
  <c r="EO33" i="3" s="1"/>
  <c r="EK8" i="3"/>
  <c r="EN8" i="3" l="1"/>
  <c r="EO8" i="3"/>
  <c r="EG32" i="3" l="1"/>
  <c r="EG28" i="3"/>
  <c r="EG24" i="3"/>
  <c r="EH24" i="3" s="1"/>
  <c r="EI24" i="3" s="1"/>
  <c r="EG20" i="3"/>
  <c r="EH20" i="3" s="1"/>
  <c r="EI20" i="3" s="1"/>
  <c r="EG16" i="3"/>
  <c r="EH16" i="3" s="1"/>
  <c r="EI16" i="3" s="1"/>
  <c r="EG12" i="3"/>
  <c r="EH12" i="3" s="1"/>
  <c r="EI12" i="3" s="1"/>
  <c r="EG31" i="3"/>
  <c r="EG27" i="3"/>
  <c r="EG23" i="3"/>
  <c r="EH23" i="3" s="1"/>
  <c r="EI23" i="3" s="1"/>
  <c r="EG19" i="3"/>
  <c r="EH19" i="3" s="1"/>
  <c r="EI19" i="3" s="1"/>
  <c r="EG15" i="3"/>
  <c r="EH15" i="3" s="1"/>
  <c r="EI15" i="3" s="1"/>
  <c r="EG11" i="3"/>
  <c r="EH11" i="3" s="1"/>
  <c r="EI11" i="3" s="1"/>
  <c r="EG8" i="3"/>
  <c r="EG30" i="3"/>
  <c r="EG26" i="3"/>
  <c r="EH26" i="3" s="1"/>
  <c r="EI26" i="3" s="1"/>
  <c r="EG22" i="3"/>
  <c r="EH22" i="3" s="1"/>
  <c r="EI22" i="3" s="1"/>
  <c r="EG18" i="3"/>
  <c r="EH18" i="3" s="1"/>
  <c r="EI18" i="3" s="1"/>
  <c r="EG14" i="3"/>
  <c r="EH14" i="3" s="1"/>
  <c r="EI14" i="3" s="1"/>
  <c r="EG10" i="3"/>
  <c r="EH10" i="3" s="1"/>
  <c r="EI10" i="3" s="1"/>
  <c r="EG33" i="3"/>
  <c r="EG29" i="3"/>
  <c r="EG25" i="3"/>
  <c r="EH25" i="3" s="1"/>
  <c r="EI25" i="3" s="1"/>
  <c r="EG21" i="3"/>
  <c r="EH21" i="3" s="1"/>
  <c r="EI21" i="3" s="1"/>
  <c r="EG17" i="3"/>
  <c r="EH17" i="3" s="1"/>
  <c r="EI17" i="3" s="1"/>
  <c r="EG13" i="3"/>
  <c r="EH13" i="3" s="1"/>
  <c r="EI13" i="3" s="1"/>
  <c r="EG9" i="3"/>
  <c r="EH9" i="3" s="1"/>
  <c r="EI9" i="3" s="1"/>
  <c r="EH33" i="3" l="1"/>
  <c r="EI33" i="3" s="1"/>
  <c r="BX33" i="3" s="1"/>
  <c r="EH27" i="3"/>
  <c r="EI27" i="3" s="1"/>
  <c r="BX27" i="3" s="1"/>
  <c r="EH31" i="3"/>
  <c r="EI31" i="3" s="1"/>
  <c r="BX31" i="3" s="1"/>
  <c r="EH30" i="3"/>
  <c r="EI30" i="3" s="1"/>
  <c r="BX30" i="3" s="1"/>
  <c r="EH28" i="3"/>
  <c r="EI28" i="3" s="1"/>
  <c r="BX28" i="3" s="1"/>
  <c r="EH29" i="3"/>
  <c r="EI29" i="3" s="1"/>
  <c r="BX29" i="3" s="1"/>
  <c r="EH32" i="3"/>
  <c r="EI32" i="3" s="1"/>
  <c r="BX32" i="3" s="1"/>
  <c r="EH8" i="3"/>
  <c r="EG34" i="3"/>
  <c r="CY33" i="3"/>
  <c r="CE9" i="3"/>
  <c r="CE10" i="3"/>
  <c r="CE11" i="3"/>
  <c r="CE12" i="3"/>
  <c r="CE13" i="3"/>
  <c r="CE14" i="3"/>
  <c r="CE15" i="3"/>
  <c r="CE16" i="3"/>
  <c r="CE17" i="3"/>
  <c r="CE18" i="3"/>
  <c r="CE19" i="3"/>
  <c r="CE20" i="3"/>
  <c r="CE21" i="3"/>
  <c r="CE22" i="3"/>
  <c r="CE23" i="3"/>
  <c r="CE24" i="3"/>
  <c r="CE25" i="3"/>
  <c r="CE26" i="3"/>
  <c r="CE27" i="3"/>
  <c r="CE28" i="3"/>
  <c r="CE29" i="3"/>
  <c r="CE30" i="3"/>
  <c r="CE31" i="3"/>
  <c r="CE32" i="3"/>
  <c r="CE33" i="3"/>
  <c r="BX9" i="3"/>
  <c r="BX10" i="3"/>
  <c r="BX11" i="3"/>
  <c r="BX12" i="3"/>
  <c r="BX13" i="3"/>
  <c r="BX14" i="3"/>
  <c r="BX15" i="3"/>
  <c r="BX16" i="3"/>
  <c r="BX17" i="3"/>
  <c r="BX18" i="3"/>
  <c r="BX19" i="3"/>
  <c r="BX20" i="3"/>
  <c r="BX21" i="3"/>
  <c r="BX22" i="3"/>
  <c r="BX23" i="3"/>
  <c r="BX24" i="3"/>
  <c r="BX25" i="3"/>
  <c r="BX26" i="3"/>
  <c r="N10" i="2"/>
  <c r="N11" i="2"/>
  <c r="N12" i="2"/>
  <c r="N13" i="2"/>
  <c r="N14" i="2"/>
  <c r="N15" i="2"/>
  <c r="N16" i="2"/>
  <c r="N17" i="2"/>
  <c r="N18" i="2"/>
  <c r="N19" i="2"/>
  <c r="N20" i="2"/>
  <c r="N21" i="2"/>
  <c r="N22" i="2"/>
  <c r="N23" i="2"/>
  <c r="N24" i="2"/>
  <c r="N25" i="2"/>
  <c r="N26" i="2"/>
  <c r="N27" i="2"/>
  <c r="N28" i="2"/>
  <c r="N29" i="2"/>
  <c r="N30" i="2"/>
  <c r="N31" i="2"/>
  <c r="N32" i="2"/>
  <c r="N33" i="2"/>
  <c r="N34" i="2"/>
  <c r="L34" i="3"/>
  <c r="EH34" i="3" l="1"/>
  <c r="EI8" i="3"/>
  <c r="EI34" i="3" s="1"/>
  <c r="CL34" i="3"/>
  <c r="BJ38" i="3"/>
  <c r="E176" i="1"/>
  <c r="BX8" i="3" l="1"/>
  <c r="BX34" i="3" s="1"/>
  <c r="E179" i="6"/>
  <c r="F179" i="6"/>
  <c r="G179" i="6"/>
  <c r="P42" i="1" l="1"/>
  <c r="C42" i="1"/>
  <c r="C43" i="1" s="1"/>
  <c r="D42" i="1"/>
  <c r="D43" i="1" s="1"/>
  <c r="F42" i="1"/>
  <c r="F43" i="1" s="1"/>
  <c r="G42" i="1"/>
  <c r="H42" i="1"/>
  <c r="H43" i="1" s="1"/>
  <c r="I42" i="1"/>
  <c r="I43" i="1" s="1"/>
  <c r="J42" i="1"/>
  <c r="J43" i="1" s="1"/>
  <c r="K42" i="1"/>
  <c r="K43" i="1" s="1"/>
  <c r="M42" i="1"/>
  <c r="M43" i="1" s="1"/>
  <c r="N42" i="1"/>
  <c r="N43" i="1" s="1"/>
  <c r="O42" i="1"/>
  <c r="O43" i="1" s="1"/>
  <c r="G43" i="1"/>
  <c r="E48" i="1"/>
  <c r="L48" i="1"/>
  <c r="P43" i="1" l="1"/>
  <c r="D179" i="6" l="1"/>
  <c r="C179" i="6"/>
  <c r="B179" i="6"/>
  <c r="J195" i="6" l="1"/>
  <c r="I195" i="6"/>
  <c r="H195" i="6"/>
  <c r="I193" i="6"/>
  <c r="J188" i="6"/>
  <c r="I188" i="6"/>
  <c r="H188" i="6"/>
  <c r="J187" i="6"/>
  <c r="I187" i="6"/>
  <c r="H187" i="6"/>
  <c r="J186" i="6"/>
  <c r="I186" i="6"/>
  <c r="H186" i="6"/>
  <c r="J185" i="6"/>
  <c r="I185" i="6"/>
  <c r="H185" i="6"/>
  <c r="J184" i="6"/>
  <c r="I184" i="6"/>
  <c r="H184" i="6"/>
  <c r="J183" i="6"/>
  <c r="I183" i="6"/>
  <c r="H183" i="6"/>
  <c r="J182" i="6"/>
  <c r="I182" i="6"/>
  <c r="H182" i="6"/>
  <c r="J181" i="6"/>
  <c r="I181" i="6"/>
  <c r="H181" i="6"/>
  <c r="M179" i="6"/>
  <c r="L179" i="6"/>
  <c r="K179" i="6"/>
  <c r="J179" i="6"/>
  <c r="I179" i="6"/>
  <c r="H179" i="6"/>
  <c r="J69" i="6"/>
  <c r="I69" i="6"/>
  <c r="M67" i="6"/>
  <c r="L67" i="6"/>
  <c r="K67" i="6"/>
  <c r="J67" i="6"/>
  <c r="I67" i="6"/>
  <c r="L65" i="6"/>
  <c r="K65" i="6"/>
  <c r="J65" i="6"/>
  <c r="I65" i="6"/>
  <c r="M63" i="6"/>
  <c r="L63" i="6"/>
  <c r="K63" i="6"/>
  <c r="J63" i="6"/>
  <c r="I63" i="6"/>
  <c r="J61" i="6"/>
  <c r="I61" i="6"/>
  <c r="J60" i="6"/>
  <c r="I60" i="6"/>
  <c r="M59" i="6"/>
  <c r="L59" i="6"/>
  <c r="K59" i="6"/>
  <c r="J59" i="6"/>
  <c r="I59" i="6"/>
  <c r="E57" i="6"/>
  <c r="D57" i="6"/>
  <c r="J57" i="6" s="1"/>
  <c r="C57" i="6"/>
  <c r="I57" i="6" s="1"/>
  <c r="B57" i="6"/>
  <c r="E56" i="6"/>
  <c r="D56" i="6"/>
  <c r="J56" i="6" s="1"/>
  <c r="C56" i="6"/>
  <c r="I56" i="6" s="1"/>
  <c r="B56" i="6"/>
  <c r="G55" i="6"/>
  <c r="F55" i="6"/>
  <c r="E55" i="6"/>
  <c r="D55" i="6"/>
  <c r="C55" i="6"/>
  <c r="C180" i="6" s="1"/>
  <c r="B55" i="6"/>
  <c r="I55" i="6" l="1"/>
  <c r="H55" i="6"/>
  <c r="H56" i="6"/>
  <c r="J55" i="6"/>
  <c r="H57" i="6"/>
  <c r="F180" i="6"/>
  <c r="I180" i="6" s="1"/>
  <c r="G180" i="6"/>
  <c r="E180" i="6"/>
  <c r="B180" i="6"/>
  <c r="D180" i="6"/>
  <c r="M57" i="6"/>
  <c r="L57" i="6"/>
  <c r="L56" i="6"/>
  <c r="M56" i="6"/>
  <c r="K55" i="6"/>
  <c r="K57" i="6"/>
  <c r="K56" i="6"/>
  <c r="L55" i="6"/>
  <c r="M55" i="6"/>
  <c r="H12" i="6"/>
  <c r="I12" i="6"/>
  <c r="J12" i="6"/>
  <c r="H13" i="6"/>
  <c r="I13" i="6"/>
  <c r="J13" i="6"/>
  <c r="H14" i="6"/>
  <c r="I14" i="6"/>
  <c r="J14" i="6"/>
  <c r="H15" i="6"/>
  <c r="I15" i="6"/>
  <c r="J15" i="6"/>
  <c r="H16" i="6"/>
  <c r="I16" i="6"/>
  <c r="J16" i="6"/>
  <c r="H17" i="6"/>
  <c r="I17" i="6"/>
  <c r="J17" i="6"/>
  <c r="H18" i="6"/>
  <c r="I18" i="6"/>
  <c r="J18" i="6"/>
  <c r="H19" i="6"/>
  <c r="I19" i="6"/>
  <c r="J19" i="6"/>
  <c r="H20" i="6"/>
  <c r="I20" i="6"/>
  <c r="J20" i="6"/>
  <c r="H21" i="6"/>
  <c r="I21" i="6"/>
  <c r="J21" i="6"/>
  <c r="H22" i="6"/>
  <c r="I22" i="6"/>
  <c r="J22" i="6"/>
  <c r="H23" i="6"/>
  <c r="I23" i="6"/>
  <c r="J23" i="6"/>
  <c r="H24" i="6"/>
  <c r="I24" i="6"/>
  <c r="J24" i="6"/>
  <c r="H25" i="6"/>
  <c r="I25" i="6"/>
  <c r="J25" i="6"/>
  <c r="H26" i="6"/>
  <c r="I26" i="6"/>
  <c r="J26" i="6"/>
  <c r="H27" i="6"/>
  <c r="I27" i="6"/>
  <c r="J27" i="6"/>
  <c r="H28" i="6"/>
  <c r="I28" i="6"/>
  <c r="J28" i="6"/>
  <c r="H29" i="6"/>
  <c r="I29" i="6"/>
  <c r="J29" i="6"/>
  <c r="H30" i="6"/>
  <c r="I30" i="6"/>
  <c r="J30" i="6"/>
  <c r="H31" i="6"/>
  <c r="I31" i="6"/>
  <c r="J31" i="6"/>
  <c r="H32" i="6"/>
  <c r="I32" i="6"/>
  <c r="J32" i="6"/>
  <c r="H33" i="6"/>
  <c r="I33" i="6"/>
  <c r="J33" i="6"/>
  <c r="H34" i="6"/>
  <c r="I34" i="6"/>
  <c r="J34" i="6"/>
  <c r="H35" i="6"/>
  <c r="I35" i="6"/>
  <c r="J35" i="6"/>
  <c r="H36" i="6"/>
  <c r="I36" i="6"/>
  <c r="J36" i="6"/>
  <c r="H37" i="6"/>
  <c r="I37" i="6"/>
  <c r="J37" i="6"/>
  <c r="H38" i="6"/>
  <c r="I38" i="6"/>
  <c r="J38" i="6"/>
  <c r="H39" i="6"/>
  <c r="I39" i="6"/>
  <c r="J39" i="6"/>
  <c r="H40" i="6"/>
  <c r="I40" i="6"/>
  <c r="J40" i="6"/>
  <c r="H41" i="6"/>
  <c r="I41" i="6"/>
  <c r="J41" i="6"/>
  <c r="H42" i="6"/>
  <c r="I42" i="6"/>
  <c r="J42" i="6"/>
  <c r="H43" i="6"/>
  <c r="I43" i="6"/>
  <c r="J43" i="6"/>
  <c r="H44" i="6"/>
  <c r="I44" i="6"/>
  <c r="J44" i="6"/>
  <c r="H45" i="6"/>
  <c r="I45" i="6"/>
  <c r="J45" i="6"/>
  <c r="H46" i="6"/>
  <c r="I46" i="6"/>
  <c r="J46" i="6"/>
  <c r="H47" i="6"/>
  <c r="I47" i="6"/>
  <c r="J47" i="6"/>
  <c r="H48" i="6"/>
  <c r="I48" i="6"/>
  <c r="J48" i="6"/>
  <c r="H49" i="6"/>
  <c r="I49" i="6"/>
  <c r="J49" i="6"/>
  <c r="H50" i="6"/>
  <c r="I50" i="6"/>
  <c r="J50" i="6"/>
  <c r="H51" i="6"/>
  <c r="I51" i="6"/>
  <c r="J51" i="6"/>
  <c r="H52" i="6"/>
  <c r="I52" i="6"/>
  <c r="J52" i="6"/>
  <c r="H53" i="6"/>
  <c r="I53" i="6"/>
  <c r="J53" i="6"/>
  <c r="H54" i="6"/>
  <c r="I54" i="6"/>
  <c r="J54" i="6"/>
  <c r="L10" i="6"/>
  <c r="M10" i="6"/>
  <c r="K10" i="6"/>
  <c r="J11" i="6"/>
  <c r="I11" i="6"/>
  <c r="H11" i="6"/>
  <c r="I10" i="6"/>
  <c r="J10" i="6"/>
  <c r="H10" i="6"/>
  <c r="H180" i="6" l="1"/>
  <c r="J180" i="6"/>
  <c r="L33" i="1"/>
  <c r="M142" i="1" l="1"/>
  <c r="L176" i="1"/>
  <c r="FZ39" i="3" l="1"/>
  <c r="GA39" i="3"/>
  <c r="GB39" i="3"/>
  <c r="GC39" i="3"/>
  <c r="FN39" i="3"/>
  <c r="FO39" i="3"/>
  <c r="EN9" i="3" l="1"/>
  <c r="EN10" i="3"/>
  <c r="EN11" i="3"/>
  <c r="EN12" i="3"/>
  <c r="EN13" i="3"/>
  <c r="EN14" i="3"/>
  <c r="EN15" i="3"/>
  <c r="EN16" i="3"/>
  <c r="EN17" i="3"/>
  <c r="EN18" i="3"/>
  <c r="EN19" i="3"/>
  <c r="EN20" i="3"/>
  <c r="EN21" i="3"/>
  <c r="EN22" i="3"/>
  <c r="EN23" i="3"/>
  <c r="EN24" i="3"/>
  <c r="EN25" i="3"/>
  <c r="EN26" i="3"/>
  <c r="EN27" i="3"/>
  <c r="EN28" i="3"/>
  <c r="EN29" i="3"/>
  <c r="EN30" i="3"/>
  <c r="EN31" i="3"/>
  <c r="EN32" i="3"/>
  <c r="EN33" i="3"/>
  <c r="EJ34" i="3"/>
  <c r="EJ36" i="3" s="1"/>
  <c r="EK34" i="3"/>
  <c r="EL34" i="3"/>
  <c r="EO34" i="3" l="1"/>
  <c r="EN34" i="3"/>
  <c r="JE35" i="3" l="1"/>
  <c r="JE9" i="3"/>
  <c r="JE10" i="3"/>
  <c r="JE11" i="3"/>
  <c r="JE12" i="3"/>
  <c r="JE13" i="3"/>
  <c r="JE14" i="3"/>
  <c r="JE15" i="3"/>
  <c r="JE16" i="3"/>
  <c r="JE17" i="3"/>
  <c r="JE18" i="3"/>
  <c r="JE19" i="3"/>
  <c r="JE20" i="3"/>
  <c r="JE21" i="3"/>
  <c r="JE22" i="3"/>
  <c r="JE23" i="3"/>
  <c r="JE24" i="3"/>
  <c r="JE25" i="3"/>
  <c r="JE26" i="3"/>
  <c r="JE27" i="3"/>
  <c r="JE28" i="3"/>
  <c r="JE29" i="3"/>
  <c r="JE30" i="3"/>
  <c r="JE31" i="3"/>
  <c r="JE32" i="3"/>
  <c r="JE33" i="3"/>
  <c r="JC34" i="3"/>
  <c r="JC36" i="3" s="1"/>
  <c r="JD34" i="3"/>
  <c r="JD36" i="3" s="1"/>
  <c r="JE34" i="3" l="1"/>
  <c r="JE36" i="3" s="1"/>
  <c r="HO35" i="3" l="1"/>
  <c r="HN35" i="3"/>
  <c r="HN9" i="3"/>
  <c r="HO9" i="3"/>
  <c r="HN10" i="3"/>
  <c r="HO10" i="3"/>
  <c r="HN11" i="3"/>
  <c r="HO11" i="3"/>
  <c r="HN12" i="3"/>
  <c r="HO12" i="3"/>
  <c r="HN13" i="3"/>
  <c r="HO13" i="3"/>
  <c r="HN14" i="3"/>
  <c r="HO14" i="3"/>
  <c r="HN15" i="3"/>
  <c r="HO15" i="3"/>
  <c r="HN16" i="3"/>
  <c r="HO16" i="3"/>
  <c r="HN17" i="3"/>
  <c r="HO17" i="3"/>
  <c r="HN18" i="3"/>
  <c r="HO18" i="3"/>
  <c r="HN19" i="3"/>
  <c r="HO19" i="3"/>
  <c r="HN20" i="3"/>
  <c r="HO20" i="3"/>
  <c r="HN21" i="3"/>
  <c r="HO21" i="3"/>
  <c r="HN22" i="3"/>
  <c r="HO22" i="3"/>
  <c r="HN23" i="3"/>
  <c r="HO23" i="3"/>
  <c r="HN24" i="3"/>
  <c r="HO24" i="3"/>
  <c r="HN25" i="3"/>
  <c r="HO25" i="3"/>
  <c r="HN26" i="3"/>
  <c r="HO26" i="3"/>
  <c r="HN27" i="3"/>
  <c r="HO27" i="3"/>
  <c r="HN28" i="3"/>
  <c r="HO28" i="3"/>
  <c r="HN29" i="3"/>
  <c r="HO29" i="3"/>
  <c r="HN30" i="3"/>
  <c r="HO30" i="3"/>
  <c r="HN31" i="3"/>
  <c r="HO31" i="3"/>
  <c r="HN32" i="3"/>
  <c r="HO32" i="3"/>
  <c r="HN33" i="3"/>
  <c r="HO33" i="3"/>
  <c r="HJ34" i="3"/>
  <c r="HJ36" i="3" s="1"/>
  <c r="HK34" i="3"/>
  <c r="HK36" i="3" s="1"/>
  <c r="HL34" i="3"/>
  <c r="HL36" i="3" s="1"/>
  <c r="HM34" i="3"/>
  <c r="HM36" i="3" s="1"/>
  <c r="GX34" i="3"/>
  <c r="GX36" i="3" s="1"/>
  <c r="GY34" i="3"/>
  <c r="GY36" i="3" s="1"/>
  <c r="GZ34" i="3"/>
  <c r="GZ36" i="3" s="1"/>
  <c r="HA34" i="3"/>
  <c r="HA36" i="3" s="1"/>
  <c r="HB9" i="3"/>
  <c r="HC9" i="3"/>
  <c r="HB10" i="3"/>
  <c r="HC10" i="3"/>
  <c r="HB11" i="3"/>
  <c r="HC11" i="3"/>
  <c r="HB12" i="3"/>
  <c r="HC12" i="3"/>
  <c r="HB13" i="3"/>
  <c r="HC13" i="3"/>
  <c r="HB14" i="3"/>
  <c r="HC14" i="3"/>
  <c r="HB15" i="3"/>
  <c r="HC15" i="3"/>
  <c r="HB16" i="3"/>
  <c r="HC16" i="3"/>
  <c r="HB17" i="3"/>
  <c r="HC17" i="3"/>
  <c r="HB18" i="3"/>
  <c r="HC18" i="3"/>
  <c r="HB19" i="3"/>
  <c r="HC19" i="3"/>
  <c r="HB20" i="3"/>
  <c r="HC20" i="3"/>
  <c r="HB21" i="3"/>
  <c r="HC21" i="3"/>
  <c r="HB22" i="3"/>
  <c r="HC22" i="3"/>
  <c r="HB23" i="3"/>
  <c r="HC23" i="3"/>
  <c r="HB24" i="3"/>
  <c r="HC24" i="3"/>
  <c r="HB25" i="3"/>
  <c r="HC25" i="3"/>
  <c r="HB26" i="3"/>
  <c r="HC26" i="3"/>
  <c r="HB27" i="3"/>
  <c r="HC27" i="3"/>
  <c r="HB28" i="3"/>
  <c r="HC28" i="3"/>
  <c r="HB29" i="3"/>
  <c r="HC29" i="3"/>
  <c r="HB30" i="3"/>
  <c r="HC30" i="3"/>
  <c r="HB31" i="3"/>
  <c r="HC31" i="3"/>
  <c r="HB32" i="3"/>
  <c r="HC32" i="3"/>
  <c r="HB33" i="3"/>
  <c r="HC33" i="3"/>
  <c r="HB35" i="3"/>
  <c r="HC35" i="3"/>
  <c r="HU35" i="3"/>
  <c r="HU40" i="3" s="1"/>
  <c r="HT35" i="3"/>
  <c r="HT40" i="3" s="1"/>
  <c r="HT9" i="3"/>
  <c r="HU9" i="3"/>
  <c r="HT10" i="3"/>
  <c r="HU10" i="3"/>
  <c r="HT11" i="3"/>
  <c r="HU11" i="3"/>
  <c r="HT12" i="3"/>
  <c r="HU12" i="3"/>
  <c r="HT13" i="3"/>
  <c r="HU13" i="3"/>
  <c r="HT14" i="3"/>
  <c r="HU14" i="3"/>
  <c r="HT15" i="3"/>
  <c r="HU15" i="3"/>
  <c r="HT16" i="3"/>
  <c r="HU16" i="3"/>
  <c r="HT17" i="3"/>
  <c r="HU17" i="3"/>
  <c r="HT18" i="3"/>
  <c r="HU18" i="3"/>
  <c r="HT19" i="3"/>
  <c r="HU19" i="3"/>
  <c r="HT20" i="3"/>
  <c r="HU20" i="3"/>
  <c r="HT21" i="3"/>
  <c r="HU21" i="3"/>
  <c r="HT22" i="3"/>
  <c r="HU22" i="3"/>
  <c r="HT23" i="3"/>
  <c r="HU23" i="3"/>
  <c r="HT24" i="3"/>
  <c r="HU24" i="3"/>
  <c r="HT25" i="3"/>
  <c r="HU25" i="3"/>
  <c r="HT26" i="3"/>
  <c r="HU26" i="3"/>
  <c r="HT27" i="3"/>
  <c r="HU27" i="3"/>
  <c r="HT28" i="3"/>
  <c r="HU28" i="3"/>
  <c r="HT29" i="3"/>
  <c r="HU29" i="3"/>
  <c r="HT30" i="3"/>
  <c r="HU30" i="3"/>
  <c r="HT31" i="3"/>
  <c r="HU31" i="3"/>
  <c r="HT32" i="3"/>
  <c r="HU32" i="3"/>
  <c r="HT33" i="3"/>
  <c r="HU33" i="3"/>
  <c r="HU8" i="3"/>
  <c r="GW35" i="3"/>
  <c r="GW39" i="3" s="1"/>
  <c r="GV35" i="3"/>
  <c r="GV39" i="3" s="1"/>
  <c r="GV9" i="3"/>
  <c r="GW9" i="3"/>
  <c r="GV10" i="3"/>
  <c r="GW10" i="3"/>
  <c r="GV11" i="3"/>
  <c r="GW11" i="3"/>
  <c r="GV12" i="3"/>
  <c r="GW12" i="3"/>
  <c r="GV13" i="3"/>
  <c r="GW13" i="3"/>
  <c r="GV14" i="3"/>
  <c r="GW14" i="3"/>
  <c r="GV15" i="3"/>
  <c r="GW15" i="3"/>
  <c r="GV16" i="3"/>
  <c r="GW16" i="3"/>
  <c r="GV17" i="3"/>
  <c r="GW17" i="3"/>
  <c r="GV18" i="3"/>
  <c r="GW18" i="3"/>
  <c r="GV19" i="3"/>
  <c r="GW19" i="3"/>
  <c r="GV20" i="3"/>
  <c r="GW20" i="3"/>
  <c r="GV21" i="3"/>
  <c r="GW21" i="3"/>
  <c r="GV22" i="3"/>
  <c r="GW22" i="3"/>
  <c r="GV23" i="3"/>
  <c r="GW23" i="3"/>
  <c r="GV24" i="3"/>
  <c r="GW24" i="3"/>
  <c r="GV25" i="3"/>
  <c r="GW25" i="3"/>
  <c r="GV26" i="3"/>
  <c r="GW26" i="3"/>
  <c r="GV27" i="3"/>
  <c r="GW27" i="3"/>
  <c r="GV28" i="3"/>
  <c r="GW28" i="3"/>
  <c r="GV29" i="3"/>
  <c r="GW29" i="3"/>
  <c r="GV30" i="3"/>
  <c r="GW30" i="3"/>
  <c r="GV31" i="3"/>
  <c r="GW31" i="3"/>
  <c r="GV32" i="3"/>
  <c r="GW32" i="3"/>
  <c r="GV33" i="3"/>
  <c r="GW33" i="3"/>
  <c r="GR34" i="3"/>
  <c r="GS34" i="3"/>
  <c r="GT34" i="3"/>
  <c r="GU34" i="3"/>
  <c r="GQ35" i="3"/>
  <c r="GQ39" i="3" s="1"/>
  <c r="GP35" i="3"/>
  <c r="GP39" i="3" s="1"/>
  <c r="GP9" i="3"/>
  <c r="GQ9" i="3"/>
  <c r="GP10" i="3"/>
  <c r="GQ10" i="3"/>
  <c r="GP11" i="3"/>
  <c r="GQ11" i="3"/>
  <c r="GP12" i="3"/>
  <c r="GQ12" i="3"/>
  <c r="GP13" i="3"/>
  <c r="GQ13" i="3"/>
  <c r="GP14" i="3"/>
  <c r="GQ14" i="3"/>
  <c r="GP15" i="3"/>
  <c r="GQ15" i="3"/>
  <c r="GP16" i="3"/>
  <c r="GQ16" i="3"/>
  <c r="GP17" i="3"/>
  <c r="GQ17" i="3"/>
  <c r="GP18" i="3"/>
  <c r="GQ18" i="3"/>
  <c r="GP19" i="3"/>
  <c r="GQ19" i="3"/>
  <c r="GP20" i="3"/>
  <c r="GQ20" i="3"/>
  <c r="GP21" i="3"/>
  <c r="GQ21" i="3"/>
  <c r="GP22" i="3"/>
  <c r="GQ22" i="3"/>
  <c r="GP23" i="3"/>
  <c r="GQ23" i="3"/>
  <c r="GP24" i="3"/>
  <c r="GQ24" i="3"/>
  <c r="GP25" i="3"/>
  <c r="GQ25" i="3"/>
  <c r="GP26" i="3"/>
  <c r="GQ26" i="3"/>
  <c r="GP27" i="3"/>
  <c r="GQ27" i="3"/>
  <c r="GP28" i="3"/>
  <c r="GQ28" i="3"/>
  <c r="GP29" i="3"/>
  <c r="GQ29" i="3"/>
  <c r="GP30" i="3"/>
  <c r="GQ30" i="3"/>
  <c r="GP31" i="3"/>
  <c r="GQ31" i="3"/>
  <c r="GP32" i="3"/>
  <c r="GQ32" i="3"/>
  <c r="GP33" i="3"/>
  <c r="GQ33" i="3"/>
  <c r="GL34" i="3"/>
  <c r="GM34" i="3"/>
  <c r="GN34" i="3"/>
  <c r="GO34" i="3"/>
  <c r="GE35" i="3"/>
  <c r="GE39" i="3" s="1"/>
  <c r="GD35" i="3"/>
  <c r="GD39" i="3" s="1"/>
  <c r="GD9" i="3"/>
  <c r="GE9" i="3"/>
  <c r="GD10" i="3"/>
  <c r="GE10" i="3"/>
  <c r="GD11" i="3"/>
  <c r="GE11" i="3"/>
  <c r="GD12" i="3"/>
  <c r="GE12" i="3"/>
  <c r="GD13" i="3"/>
  <c r="GE13" i="3"/>
  <c r="GD14" i="3"/>
  <c r="GE14" i="3"/>
  <c r="GD15" i="3"/>
  <c r="GE15" i="3"/>
  <c r="GD16" i="3"/>
  <c r="GE16" i="3"/>
  <c r="GD17" i="3"/>
  <c r="GE17" i="3"/>
  <c r="GD18" i="3"/>
  <c r="GE18" i="3"/>
  <c r="GD19" i="3"/>
  <c r="GE19" i="3"/>
  <c r="GD20" i="3"/>
  <c r="GE20" i="3"/>
  <c r="GD21" i="3"/>
  <c r="GE21" i="3"/>
  <c r="GD22" i="3"/>
  <c r="GE22" i="3"/>
  <c r="GD23" i="3"/>
  <c r="GE23" i="3"/>
  <c r="GD24" i="3"/>
  <c r="GE24" i="3"/>
  <c r="GD25" i="3"/>
  <c r="GE25" i="3"/>
  <c r="GD26" i="3"/>
  <c r="GE26" i="3"/>
  <c r="GE27" i="3"/>
  <c r="GD28" i="3"/>
  <c r="GE28" i="3"/>
  <c r="GD29" i="3"/>
  <c r="GE29" i="3"/>
  <c r="GD30" i="3"/>
  <c r="GE30" i="3"/>
  <c r="GD31" i="3"/>
  <c r="GE31" i="3"/>
  <c r="GD32" i="3"/>
  <c r="GE32" i="3"/>
  <c r="GD33" i="3"/>
  <c r="GE33" i="3"/>
  <c r="GN36" i="3" l="1"/>
  <c r="GN40" i="3" s="1"/>
  <c r="GN38" i="3"/>
  <c r="GM36" i="3"/>
  <c r="GM40" i="3" s="1"/>
  <c r="GM38" i="3"/>
  <c r="GL36" i="3"/>
  <c r="GL40" i="3" s="1"/>
  <c r="GL38" i="3"/>
  <c r="GR36" i="3"/>
  <c r="GR40" i="3" s="1"/>
  <c r="GR38" i="3"/>
  <c r="GT36" i="3"/>
  <c r="GT40" i="3" s="1"/>
  <c r="GT38" i="3"/>
  <c r="GS36" i="3"/>
  <c r="GS40" i="3" s="1"/>
  <c r="GS38" i="3"/>
  <c r="GO36" i="3"/>
  <c r="GO40" i="3" s="1"/>
  <c r="GO38" i="3"/>
  <c r="GU36" i="3"/>
  <c r="GU40" i="3" s="1"/>
  <c r="GU38" i="3"/>
  <c r="GV34" i="3"/>
  <c r="GW34" i="3"/>
  <c r="GQ34" i="3"/>
  <c r="HO34" i="3"/>
  <c r="HO36" i="3" s="1"/>
  <c r="HN34" i="3"/>
  <c r="HN36" i="3" s="1"/>
  <c r="HB34" i="3"/>
  <c r="HB36" i="3" s="1"/>
  <c r="HC34" i="3"/>
  <c r="HC36" i="3" s="1"/>
  <c r="GP34" i="3"/>
  <c r="GP36" i="3" l="1"/>
  <c r="GP40" i="3" s="1"/>
  <c r="GP38" i="3"/>
  <c r="GQ36" i="3"/>
  <c r="GQ40" i="3" s="1"/>
  <c r="GQ38" i="3"/>
  <c r="GW36" i="3"/>
  <c r="GW40" i="3" s="1"/>
  <c r="GW38" i="3"/>
  <c r="GV36" i="3"/>
  <c r="GV40" i="3" s="1"/>
  <c r="GV38" i="3"/>
  <c r="HP34" i="3"/>
  <c r="HQ34" i="3"/>
  <c r="HR34" i="3"/>
  <c r="HS34" i="3"/>
  <c r="HT34" i="3"/>
  <c r="HU34" i="3"/>
  <c r="HS36" i="3" l="1"/>
  <c r="HS41" i="3" s="1"/>
  <c r="HS39" i="3"/>
  <c r="HU36" i="3"/>
  <c r="HU41" i="3" s="1"/>
  <c r="HU39" i="3"/>
  <c r="HQ36" i="3"/>
  <c r="HQ41" i="3" s="1"/>
  <c r="HQ39" i="3"/>
  <c r="HR36" i="3"/>
  <c r="HR41" i="3" s="1"/>
  <c r="HR39" i="3"/>
  <c r="HT36" i="3"/>
  <c r="HT41" i="3" s="1"/>
  <c r="HT39" i="3"/>
  <c r="HP36" i="3"/>
  <c r="HP41" i="3" s="1"/>
  <c r="HP39" i="3"/>
  <c r="FZ34" i="3"/>
  <c r="GA34" i="3"/>
  <c r="GB34" i="3"/>
  <c r="GC34" i="3"/>
  <c r="GD34" i="3"/>
  <c r="GE34" i="3"/>
  <c r="GB42" i="3" l="1"/>
  <c r="GC42" i="3"/>
  <c r="GD36" i="3"/>
  <c r="GD40" i="3" s="1"/>
  <c r="GD38" i="3"/>
  <c r="FZ36" i="3"/>
  <c r="FZ40" i="3" s="1"/>
  <c r="FZ38" i="3"/>
  <c r="GC36" i="3"/>
  <c r="GC38" i="3"/>
  <c r="GB36" i="3"/>
  <c r="GB38" i="3"/>
  <c r="GE36" i="3"/>
  <c r="GE40" i="3" s="1"/>
  <c r="GE38" i="3"/>
  <c r="GA36" i="3"/>
  <c r="GA40" i="3" s="1"/>
  <c r="GA38" i="3"/>
  <c r="GC40" i="3" l="1"/>
  <c r="GC44" i="3"/>
  <c r="GB40" i="3"/>
  <c r="GB44" i="3"/>
  <c r="I176" i="1"/>
  <c r="DF9" i="3" l="1"/>
  <c r="DF10" i="3"/>
  <c r="DF11" i="3"/>
  <c r="DF12" i="3"/>
  <c r="DF13" i="3"/>
  <c r="DF14" i="3"/>
  <c r="DF15" i="3"/>
  <c r="DF16" i="3"/>
  <c r="DF17" i="3"/>
  <c r="DF18" i="3"/>
  <c r="DF19" i="3"/>
  <c r="DF20" i="3"/>
  <c r="DF21" i="3"/>
  <c r="DF22" i="3"/>
  <c r="DF23" i="3"/>
  <c r="DF24" i="3"/>
  <c r="DF25" i="3"/>
  <c r="DF26" i="3"/>
  <c r="DF27" i="3"/>
  <c r="DF28" i="3"/>
  <c r="DF29" i="3"/>
  <c r="DF30" i="3"/>
  <c r="DF31" i="3"/>
  <c r="DF32" i="3"/>
  <c r="DF33" i="3"/>
  <c r="DD9" i="3"/>
  <c r="DD10" i="3"/>
  <c r="DD11" i="3"/>
  <c r="DD12" i="3"/>
  <c r="DD13" i="3"/>
  <c r="DD14" i="3"/>
  <c r="DD15" i="3"/>
  <c r="DD16" i="3"/>
  <c r="DD17" i="3"/>
  <c r="DD18" i="3"/>
  <c r="DD19" i="3"/>
  <c r="DD20" i="3"/>
  <c r="DD21" i="3"/>
  <c r="DD22" i="3"/>
  <c r="DD23" i="3"/>
  <c r="DD24" i="3"/>
  <c r="DD25" i="3"/>
  <c r="DD26" i="3"/>
  <c r="DD27" i="3"/>
  <c r="DD28" i="3"/>
  <c r="DD29" i="3"/>
  <c r="DD30" i="3"/>
  <c r="DD31" i="3"/>
  <c r="DD32" i="3"/>
  <c r="DD33" i="3"/>
  <c r="C162" i="1" l="1"/>
  <c r="Q162" i="1" s="1"/>
  <c r="D162" i="1"/>
  <c r="R162" i="1" s="1"/>
  <c r="F162" i="1"/>
  <c r="T162" i="1" s="1"/>
  <c r="G162" i="1"/>
  <c r="U162" i="1" s="1"/>
  <c r="H162" i="1"/>
  <c r="V162" i="1" s="1"/>
  <c r="I162" i="1"/>
  <c r="W162" i="1" s="1"/>
  <c r="J162" i="1"/>
  <c r="X162" i="1" s="1"/>
  <c r="K162" i="1"/>
  <c r="Y162" i="1" s="1"/>
  <c r="M162" i="1"/>
  <c r="AA162" i="1" s="1"/>
  <c r="N162" i="1"/>
  <c r="O162" i="1"/>
  <c r="AA154" i="1"/>
  <c r="Z154" i="1"/>
  <c r="Y154" i="1"/>
  <c r="W154" i="1"/>
  <c r="V154" i="1"/>
  <c r="U154" i="1"/>
  <c r="T154" i="1"/>
  <c r="S154" i="1"/>
  <c r="Q154" i="1"/>
  <c r="P154" i="1"/>
  <c r="L154" i="1"/>
  <c r="X154" i="1" s="1"/>
  <c r="E154" i="1"/>
  <c r="R154" i="1" s="1"/>
  <c r="E158" i="1"/>
  <c r="P117" i="1"/>
  <c r="Q117" i="1"/>
  <c r="S117" i="1"/>
  <c r="T117" i="1"/>
  <c r="U117" i="1"/>
  <c r="Y117" i="1"/>
  <c r="Z117" i="1"/>
  <c r="AA117" i="1"/>
  <c r="P118" i="1"/>
  <c r="Q118" i="1"/>
  <c r="S118" i="1"/>
  <c r="T118" i="1"/>
  <c r="U118" i="1"/>
  <c r="V118" i="1"/>
  <c r="W118" i="1"/>
  <c r="Y118" i="1"/>
  <c r="Z118" i="1"/>
  <c r="AA118" i="1"/>
  <c r="L118" i="1"/>
  <c r="X118" i="1" s="1"/>
  <c r="E118" i="1"/>
  <c r="E117" i="1" s="1"/>
  <c r="R117" i="1" s="1"/>
  <c r="AG118" i="1" l="1"/>
  <c r="AB118" i="1"/>
  <c r="L117" i="1"/>
  <c r="X117" i="1" s="1"/>
  <c r="AE118" i="1"/>
  <c r="AB117" i="1"/>
  <c r="AC118" i="1"/>
  <c r="AF118" i="1"/>
  <c r="AC117" i="1"/>
  <c r="R118" i="1"/>
  <c r="AD118" i="1" s="1"/>
  <c r="B9" i="1" l="1"/>
  <c r="E21" i="1"/>
  <c r="JT9" i="3" l="1"/>
  <c r="JT10" i="3"/>
  <c r="JT11" i="3"/>
  <c r="JT12" i="3"/>
  <c r="JT13" i="3"/>
  <c r="JT14" i="3"/>
  <c r="JT15" i="3"/>
  <c r="JT16" i="3"/>
  <c r="JT17" i="3"/>
  <c r="JT18" i="3"/>
  <c r="JT19" i="3"/>
  <c r="JT20" i="3"/>
  <c r="JT21" i="3"/>
  <c r="JT22" i="3"/>
  <c r="JT23" i="3"/>
  <c r="JT24" i="3"/>
  <c r="JT25" i="3"/>
  <c r="JT26" i="3"/>
  <c r="JT27" i="3"/>
  <c r="JT28" i="3"/>
  <c r="JT29" i="3"/>
  <c r="JT30" i="3"/>
  <c r="JT31" i="3"/>
  <c r="JT32" i="3"/>
  <c r="JT33" i="3"/>
  <c r="JT35" i="3"/>
  <c r="JR34" i="3"/>
  <c r="JR36" i="3" s="1"/>
  <c r="JS34" i="3"/>
  <c r="JK35" i="3"/>
  <c r="JH35" i="3"/>
  <c r="JK33" i="3"/>
  <c r="JK32" i="3"/>
  <c r="JK31" i="3"/>
  <c r="JK30" i="3"/>
  <c r="JK29" i="3"/>
  <c r="JK28" i="3"/>
  <c r="JK27" i="3"/>
  <c r="JK26" i="3"/>
  <c r="JK25" i="3"/>
  <c r="JK24" i="3"/>
  <c r="JK23" i="3"/>
  <c r="JK22" i="3"/>
  <c r="JK21" i="3"/>
  <c r="JK20" i="3"/>
  <c r="JK19" i="3"/>
  <c r="JK18" i="3"/>
  <c r="JK17" i="3"/>
  <c r="JK16" i="3"/>
  <c r="JK15" i="3"/>
  <c r="JK14" i="3"/>
  <c r="JK13" i="3"/>
  <c r="JK12" i="3"/>
  <c r="JK11" i="3"/>
  <c r="JK10" i="3"/>
  <c r="JK9" i="3"/>
  <c r="JI34" i="3"/>
  <c r="JI36" i="3" s="1"/>
  <c r="JJ34" i="3"/>
  <c r="JH9" i="3"/>
  <c r="JH10" i="3"/>
  <c r="JH11" i="3"/>
  <c r="JH12" i="3"/>
  <c r="JH13" i="3"/>
  <c r="JH14" i="3"/>
  <c r="JH15" i="3"/>
  <c r="JH16" i="3"/>
  <c r="JH17" i="3"/>
  <c r="JH18" i="3"/>
  <c r="JH19" i="3"/>
  <c r="JH20" i="3"/>
  <c r="JH21" i="3"/>
  <c r="JH22" i="3"/>
  <c r="JH23" i="3"/>
  <c r="JH24" i="3"/>
  <c r="JH25" i="3"/>
  <c r="JH26" i="3"/>
  <c r="JH27" i="3"/>
  <c r="JH28" i="3"/>
  <c r="JH29" i="3"/>
  <c r="JH30" i="3"/>
  <c r="JH31" i="3"/>
  <c r="JH32" i="3"/>
  <c r="JH33" i="3"/>
  <c r="JF34" i="3"/>
  <c r="JF36" i="3" s="1"/>
  <c r="JG34" i="3"/>
  <c r="JS38" i="3" l="1"/>
  <c r="JG38" i="3"/>
  <c r="JJ36" i="3"/>
  <c r="JJ38" i="3"/>
  <c r="JG36" i="3"/>
  <c r="JT34" i="3"/>
  <c r="JT36" i="3" s="1"/>
  <c r="JS36" i="3"/>
  <c r="JK34" i="3"/>
  <c r="JK36" i="3" s="1"/>
  <c r="JH34" i="3"/>
  <c r="JH36" i="3" s="1"/>
  <c r="FP39" i="3" l="1"/>
  <c r="FP43" i="3" s="1"/>
  <c r="FQ39" i="3"/>
  <c r="FQ43" i="3" s="1"/>
  <c r="IA35" i="3" l="1"/>
  <c r="HZ35" i="3"/>
  <c r="HZ8" i="3" l="1"/>
  <c r="IA8" i="3"/>
  <c r="FL35" i="3" l="1"/>
  <c r="FL39" i="3" s="1"/>
  <c r="FM35" i="3"/>
  <c r="FM39" i="3" s="1"/>
  <c r="EX34" i="3"/>
  <c r="EB9" i="3"/>
  <c r="EC9" i="3" s="1"/>
  <c r="ED9" i="3" s="1"/>
  <c r="BR9" i="3" s="1"/>
  <c r="EB12" i="3"/>
  <c r="EC12" i="3" s="1"/>
  <c r="ED12" i="3" s="1"/>
  <c r="EB13" i="3"/>
  <c r="EC13" i="3" s="1"/>
  <c r="ED13" i="3" s="1"/>
  <c r="EB16" i="3"/>
  <c r="EC16" i="3" s="1"/>
  <c r="ED16" i="3" s="1"/>
  <c r="EB17" i="3"/>
  <c r="EC17" i="3" s="1"/>
  <c r="ED17" i="3" s="1"/>
  <c r="EB20" i="3"/>
  <c r="EC20" i="3" s="1"/>
  <c r="ED20" i="3" s="1"/>
  <c r="EB21" i="3"/>
  <c r="EC21" i="3" s="1"/>
  <c r="ED21" i="3" s="1"/>
  <c r="EB24" i="3"/>
  <c r="EC24" i="3" s="1"/>
  <c r="ED24" i="3" s="1"/>
  <c r="EB25" i="3"/>
  <c r="EC25" i="3" s="1"/>
  <c r="ED25" i="3" s="1"/>
  <c r="EB28" i="3"/>
  <c r="EB29" i="3"/>
  <c r="EB32" i="3"/>
  <c r="EB33" i="3"/>
  <c r="EC32" i="3" l="1"/>
  <c r="ED32" i="3" s="1"/>
  <c r="EC29" i="3"/>
  <c r="ED29" i="3" s="1"/>
  <c r="EC33" i="3"/>
  <c r="ED33" i="3" s="1"/>
  <c r="EC28" i="3"/>
  <c r="ED28" i="3" s="1"/>
  <c r="EB30" i="3"/>
  <c r="EB26" i="3"/>
  <c r="EC26" i="3" s="1"/>
  <c r="ED26" i="3" s="1"/>
  <c r="EB22" i="3"/>
  <c r="EC22" i="3" s="1"/>
  <c r="ED22" i="3" s="1"/>
  <c r="EB18" i="3"/>
  <c r="EC18" i="3" s="1"/>
  <c r="ED18" i="3" s="1"/>
  <c r="EB14" i="3"/>
  <c r="EC14" i="3" s="1"/>
  <c r="ED14" i="3" s="1"/>
  <c r="EB10" i="3"/>
  <c r="EC10" i="3" s="1"/>
  <c r="ED10" i="3" s="1"/>
  <c r="BR10" i="3" s="1"/>
  <c r="EB31" i="3"/>
  <c r="EB27" i="3"/>
  <c r="EB23" i="3"/>
  <c r="EC23" i="3" s="1"/>
  <c r="ED23" i="3" s="1"/>
  <c r="EB19" i="3"/>
  <c r="EC19" i="3" s="1"/>
  <c r="ED19" i="3" s="1"/>
  <c r="EB15" i="3"/>
  <c r="EC15" i="3" s="1"/>
  <c r="ED15" i="3" s="1"/>
  <c r="EB11" i="3"/>
  <c r="EC11" i="3" s="1"/>
  <c r="ED11" i="3" s="1"/>
  <c r="BR11" i="3" s="1"/>
  <c r="EC30" i="3" l="1"/>
  <c r="ED30" i="3" s="1"/>
  <c r="EC31" i="3"/>
  <c r="EC27" i="3"/>
  <c r="ED27" i="3" s="1"/>
  <c r="EB34" i="3"/>
  <c r="BR8" i="3"/>
  <c r="CN9" i="3"/>
  <c r="CN10" i="3"/>
  <c r="CN11" i="3"/>
  <c r="CN12" i="3"/>
  <c r="CN13" i="3"/>
  <c r="CN14" i="3"/>
  <c r="CN15" i="3"/>
  <c r="CN16" i="3"/>
  <c r="CN17" i="3"/>
  <c r="CN18" i="3"/>
  <c r="CS18" i="3" s="1"/>
  <c r="CN19" i="3"/>
  <c r="CN20" i="3"/>
  <c r="CN21" i="3"/>
  <c r="CN22" i="3"/>
  <c r="CN23" i="3"/>
  <c r="CN24" i="3"/>
  <c r="CN25" i="3"/>
  <c r="CN26" i="3"/>
  <c r="CN27" i="3"/>
  <c r="CN28" i="3"/>
  <c r="CN29" i="3"/>
  <c r="CN30" i="3"/>
  <c r="CN31" i="3"/>
  <c r="CN32" i="3"/>
  <c r="CN33" i="3"/>
  <c r="EC34" i="3" l="1"/>
  <c r="ED31" i="3"/>
  <c r="ED34" i="3" s="1"/>
  <c r="BR12" i="3" l="1"/>
  <c r="BR13" i="3"/>
  <c r="BR14" i="3"/>
  <c r="BR15" i="3"/>
  <c r="BR16" i="3"/>
  <c r="BR17" i="3"/>
  <c r="BR18" i="3"/>
  <c r="BR19" i="3"/>
  <c r="BR20" i="3"/>
  <c r="BR21" i="3"/>
  <c r="BR22" i="3"/>
  <c r="BR23" i="3"/>
  <c r="BR24" i="3"/>
  <c r="BR25" i="3"/>
  <c r="BR26" i="3"/>
  <c r="BR27" i="3"/>
  <c r="BR28" i="3"/>
  <c r="BR29" i="3"/>
  <c r="BR30" i="3"/>
  <c r="BR31" i="3"/>
  <c r="BR32" i="3"/>
  <c r="BR33" i="3"/>
  <c r="BR34" i="3" l="1"/>
  <c r="E9" i="14" l="1"/>
  <c r="F9" i="14"/>
  <c r="I9" i="14" s="1"/>
  <c r="E10" i="14"/>
  <c r="F10" i="14"/>
  <c r="I10" i="14" s="1"/>
  <c r="E11" i="14"/>
  <c r="F11" i="14"/>
  <c r="I11" i="14" s="1"/>
  <c r="E12" i="14"/>
  <c r="F12" i="14"/>
  <c r="I12" i="14" s="1"/>
  <c r="E13" i="14"/>
  <c r="F13" i="14"/>
  <c r="I13" i="14" s="1"/>
  <c r="E14" i="14"/>
  <c r="F14" i="14"/>
  <c r="I14" i="14" s="1"/>
  <c r="E15" i="14"/>
  <c r="F15" i="14"/>
  <c r="I15" i="14" s="1"/>
  <c r="E16" i="14"/>
  <c r="F16" i="14"/>
  <c r="I16" i="14" s="1"/>
  <c r="E17" i="14"/>
  <c r="F17" i="14"/>
  <c r="I17" i="14" s="1"/>
  <c r="E18" i="14"/>
  <c r="F18" i="14"/>
  <c r="I18" i="14" s="1"/>
  <c r="E19" i="14"/>
  <c r="F19" i="14"/>
  <c r="I19" i="14" s="1"/>
  <c r="E20" i="14"/>
  <c r="F20" i="14"/>
  <c r="I20" i="14" s="1"/>
  <c r="E21" i="14"/>
  <c r="F21" i="14"/>
  <c r="I21" i="14" s="1"/>
  <c r="E22" i="14"/>
  <c r="F22" i="14"/>
  <c r="I22" i="14" s="1"/>
  <c r="E23" i="14"/>
  <c r="F23" i="14"/>
  <c r="I23" i="14" s="1"/>
  <c r="E24" i="14"/>
  <c r="F24" i="14"/>
  <c r="I24" i="14" s="1"/>
  <c r="E25" i="14"/>
  <c r="F25" i="14"/>
  <c r="I25" i="14" s="1"/>
  <c r="E26" i="14"/>
  <c r="F26" i="14"/>
  <c r="I26" i="14" s="1"/>
  <c r="E27" i="14"/>
  <c r="F27" i="14"/>
  <c r="I27" i="14" s="1"/>
  <c r="E28" i="14"/>
  <c r="F28" i="14"/>
  <c r="I28" i="14" s="1"/>
  <c r="E29" i="14"/>
  <c r="F29" i="14"/>
  <c r="I29" i="14" s="1"/>
  <c r="E30" i="14"/>
  <c r="F30" i="14"/>
  <c r="I30" i="14" s="1"/>
  <c r="E31" i="14"/>
  <c r="F31" i="14"/>
  <c r="I31" i="14" s="1"/>
  <c r="E32" i="14"/>
  <c r="F32" i="14"/>
  <c r="I32" i="14" s="1"/>
  <c r="E33" i="14"/>
  <c r="F33" i="14"/>
  <c r="F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E8" i="14"/>
  <c r="B8" i="14"/>
  <c r="HZ9" i="3"/>
  <c r="IA9" i="3"/>
  <c r="HZ10" i="3"/>
  <c r="IA10" i="3"/>
  <c r="HZ11" i="3"/>
  <c r="IA11" i="3"/>
  <c r="HZ12" i="3"/>
  <c r="IA12" i="3"/>
  <c r="HZ13" i="3"/>
  <c r="IA13" i="3"/>
  <c r="HZ14" i="3"/>
  <c r="IA14" i="3"/>
  <c r="HZ15" i="3"/>
  <c r="IA15" i="3"/>
  <c r="HZ16" i="3"/>
  <c r="IA16" i="3"/>
  <c r="HZ17" i="3"/>
  <c r="IA17" i="3"/>
  <c r="HZ18" i="3"/>
  <c r="IA18" i="3"/>
  <c r="HZ19" i="3"/>
  <c r="IA19" i="3"/>
  <c r="HZ20" i="3"/>
  <c r="IA20" i="3"/>
  <c r="HZ21" i="3"/>
  <c r="IA21" i="3"/>
  <c r="HZ22" i="3"/>
  <c r="IA22" i="3"/>
  <c r="HZ23" i="3"/>
  <c r="IA23" i="3"/>
  <c r="HZ24" i="3"/>
  <c r="IA24" i="3"/>
  <c r="HZ25" i="3"/>
  <c r="IA25" i="3"/>
  <c r="HZ26" i="3"/>
  <c r="IA26" i="3"/>
  <c r="HZ27" i="3"/>
  <c r="IA27" i="3"/>
  <c r="HZ28" i="3"/>
  <c r="IA28" i="3"/>
  <c r="HZ29" i="3"/>
  <c r="IA29" i="3"/>
  <c r="HZ30" i="3"/>
  <c r="IA30" i="3"/>
  <c r="HZ31" i="3"/>
  <c r="IA31" i="3"/>
  <c r="HZ32" i="3"/>
  <c r="IA32" i="3"/>
  <c r="HZ33" i="3"/>
  <c r="IA33" i="3"/>
  <c r="HV34" i="3"/>
  <c r="HV36" i="3" s="1"/>
  <c r="HW34" i="3"/>
  <c r="HW36" i="3" s="1"/>
  <c r="HX34" i="3"/>
  <c r="HX36" i="3" s="1"/>
  <c r="HY34" i="3"/>
  <c r="HY36" i="3" s="1"/>
  <c r="HI35" i="3"/>
  <c r="HH35" i="3"/>
  <c r="HH9" i="3"/>
  <c r="HI9" i="3"/>
  <c r="HH10" i="3"/>
  <c r="HI10" i="3"/>
  <c r="HH11" i="3"/>
  <c r="HI11" i="3"/>
  <c r="HH12" i="3"/>
  <c r="HI12" i="3"/>
  <c r="HH13" i="3"/>
  <c r="HI13" i="3"/>
  <c r="HH14" i="3"/>
  <c r="HI14" i="3"/>
  <c r="HH15" i="3"/>
  <c r="HI15" i="3"/>
  <c r="HH16" i="3"/>
  <c r="HI16" i="3"/>
  <c r="HH17" i="3"/>
  <c r="HI17" i="3"/>
  <c r="HH18" i="3"/>
  <c r="HI18" i="3"/>
  <c r="HH19" i="3"/>
  <c r="HI19" i="3"/>
  <c r="HH20" i="3"/>
  <c r="HI20" i="3"/>
  <c r="HH21" i="3"/>
  <c r="HI21" i="3"/>
  <c r="HH22" i="3"/>
  <c r="HI22" i="3"/>
  <c r="HH23" i="3"/>
  <c r="HI23" i="3"/>
  <c r="HH24" i="3"/>
  <c r="HI24" i="3"/>
  <c r="HH25" i="3"/>
  <c r="HI25" i="3"/>
  <c r="HH26" i="3"/>
  <c r="HI26" i="3"/>
  <c r="HH27" i="3"/>
  <c r="HI27" i="3"/>
  <c r="HH28" i="3"/>
  <c r="HI28" i="3"/>
  <c r="HH29" i="3"/>
  <c r="HI29" i="3"/>
  <c r="HH30" i="3"/>
  <c r="HI30" i="3"/>
  <c r="HH31" i="3"/>
  <c r="HI31" i="3"/>
  <c r="HH32" i="3"/>
  <c r="HI32" i="3"/>
  <c r="HH33" i="3"/>
  <c r="HI33" i="3"/>
  <c r="HG34" i="3"/>
  <c r="HG36" i="3" s="1"/>
  <c r="FY35" i="3"/>
  <c r="FY39" i="3" s="1"/>
  <c r="FX35" i="3"/>
  <c r="FX39" i="3" s="1"/>
  <c r="FX9" i="3"/>
  <c r="FY9" i="3"/>
  <c r="FX10" i="3"/>
  <c r="FY10" i="3"/>
  <c r="FX11" i="3"/>
  <c r="FY11" i="3"/>
  <c r="FX12" i="3"/>
  <c r="FY12" i="3"/>
  <c r="FX13" i="3"/>
  <c r="FY13" i="3"/>
  <c r="FX14" i="3"/>
  <c r="FY14" i="3"/>
  <c r="FX15" i="3"/>
  <c r="FY15" i="3"/>
  <c r="FX16" i="3"/>
  <c r="FY16" i="3"/>
  <c r="FX17" i="3"/>
  <c r="FY17" i="3"/>
  <c r="FX18" i="3"/>
  <c r="FY18" i="3"/>
  <c r="FX19" i="3"/>
  <c r="FY19" i="3"/>
  <c r="FX20" i="3"/>
  <c r="FY20" i="3"/>
  <c r="FX21" i="3"/>
  <c r="FY21" i="3"/>
  <c r="FX22" i="3"/>
  <c r="FY22" i="3"/>
  <c r="FX23" i="3"/>
  <c r="FY23" i="3"/>
  <c r="FX24" i="3"/>
  <c r="FY24" i="3"/>
  <c r="FX25" i="3"/>
  <c r="FY25" i="3"/>
  <c r="FX26" i="3"/>
  <c r="FY26" i="3"/>
  <c r="FX27" i="3"/>
  <c r="FY27" i="3"/>
  <c r="FX28" i="3"/>
  <c r="FY28" i="3"/>
  <c r="FX29" i="3"/>
  <c r="FY29" i="3"/>
  <c r="FX30" i="3"/>
  <c r="FY30" i="3"/>
  <c r="FX31" i="3"/>
  <c r="FY31" i="3"/>
  <c r="FX32" i="3"/>
  <c r="FY32" i="3"/>
  <c r="FX33" i="3"/>
  <c r="FY33" i="3"/>
  <c r="HD34" i="3"/>
  <c r="HD36" i="3" s="1"/>
  <c r="HE34" i="3"/>
  <c r="HE36" i="3" s="1"/>
  <c r="HF34" i="3"/>
  <c r="HF36" i="3" s="1"/>
  <c r="FV34" i="3"/>
  <c r="FW34" i="3"/>
  <c r="H30" i="14" l="1"/>
  <c r="H26" i="14"/>
  <c r="H22" i="14"/>
  <c r="H14" i="14"/>
  <c r="H10" i="14"/>
  <c r="H28" i="14"/>
  <c r="H16" i="14"/>
  <c r="H12" i="14"/>
  <c r="H20" i="14"/>
  <c r="H33" i="14"/>
  <c r="H31" i="14"/>
  <c r="H29" i="14"/>
  <c r="H27" i="14"/>
  <c r="H25" i="14"/>
  <c r="H23" i="14"/>
  <c r="H21" i="14"/>
  <c r="H17" i="14"/>
  <c r="H15" i="14"/>
  <c r="H13" i="14"/>
  <c r="H11" i="14"/>
  <c r="H9" i="14"/>
  <c r="FW36" i="3"/>
  <c r="FW40" i="3" s="1"/>
  <c r="FW38" i="3"/>
  <c r="FV36" i="3"/>
  <c r="FV40" i="3" s="1"/>
  <c r="FV38" i="3"/>
  <c r="K20" i="14"/>
  <c r="H8" i="14"/>
  <c r="I8" i="14"/>
  <c r="D32" i="14"/>
  <c r="D30" i="14"/>
  <c r="D28" i="14"/>
  <c r="D26" i="14"/>
  <c r="D24" i="14"/>
  <c r="D22" i="14"/>
  <c r="D20" i="14"/>
  <c r="D18" i="14"/>
  <c r="D16" i="14"/>
  <c r="D14" i="14"/>
  <c r="D12" i="14"/>
  <c r="D10" i="14"/>
  <c r="D33" i="14"/>
  <c r="D31" i="14"/>
  <c r="D29" i="14"/>
  <c r="D27" i="14"/>
  <c r="D25" i="14"/>
  <c r="D23" i="14"/>
  <c r="D21" i="14"/>
  <c r="D19" i="14"/>
  <c r="D17" i="14"/>
  <c r="D15" i="14"/>
  <c r="D13" i="14"/>
  <c r="D11" i="14"/>
  <c r="D9" i="14"/>
  <c r="G32" i="14"/>
  <c r="G30" i="14"/>
  <c r="G28" i="14"/>
  <c r="G26" i="14"/>
  <c r="G24" i="14"/>
  <c r="G22" i="14"/>
  <c r="G20" i="14"/>
  <c r="G18" i="14"/>
  <c r="G16" i="14"/>
  <c r="G14" i="14"/>
  <c r="G12" i="14"/>
  <c r="G10" i="14"/>
  <c r="G33" i="14"/>
  <c r="G31" i="14"/>
  <c r="G29" i="14"/>
  <c r="G27" i="14"/>
  <c r="G25" i="14"/>
  <c r="G23" i="14"/>
  <c r="G21" i="14"/>
  <c r="G19" i="14"/>
  <c r="G17" i="14"/>
  <c r="G15" i="14"/>
  <c r="G13" i="14"/>
  <c r="G11" i="14"/>
  <c r="G9" i="14"/>
  <c r="D8" i="14"/>
  <c r="IA34" i="3"/>
  <c r="IA36" i="3" s="1"/>
  <c r="G8" i="14"/>
  <c r="E34" i="14"/>
  <c r="G35" i="14"/>
  <c r="HZ34" i="3"/>
  <c r="HZ36" i="3" s="1"/>
  <c r="HI34" i="3"/>
  <c r="HI36" i="3" s="1"/>
  <c r="HH34" i="3"/>
  <c r="HH36" i="3" s="1"/>
  <c r="D35" i="14"/>
  <c r="C34" i="14"/>
  <c r="B34" i="14"/>
  <c r="F34" i="14"/>
  <c r="FX34" i="3"/>
  <c r="FY34" i="3"/>
  <c r="J13" i="14" l="1"/>
  <c r="J21" i="14"/>
  <c r="J29" i="14"/>
  <c r="J12" i="14"/>
  <c r="J20" i="14"/>
  <c r="J28" i="14"/>
  <c r="J15" i="14"/>
  <c r="J23" i="14"/>
  <c r="J31" i="14"/>
  <c r="J14" i="14"/>
  <c r="J22" i="14"/>
  <c r="J30" i="14"/>
  <c r="J9" i="14"/>
  <c r="J17" i="14"/>
  <c r="J25" i="14"/>
  <c r="J33" i="14"/>
  <c r="J16" i="14"/>
  <c r="J24" i="14"/>
  <c r="J32" i="14"/>
  <c r="J11" i="14"/>
  <c r="J19" i="14"/>
  <c r="J27" i="14"/>
  <c r="J10" i="14"/>
  <c r="J18" i="14"/>
  <c r="J26" i="14"/>
  <c r="J35" i="14"/>
  <c r="I34" i="14"/>
  <c r="H34" i="14"/>
  <c r="FY36" i="3"/>
  <c r="FY40" i="3" s="1"/>
  <c r="FY38" i="3"/>
  <c r="FX36" i="3"/>
  <c r="FX40" i="3" s="1"/>
  <c r="FX38" i="3"/>
  <c r="J8" i="14"/>
  <c r="F36" i="14"/>
  <c r="C36" i="14"/>
  <c r="G34" i="14"/>
  <c r="D34" i="14"/>
  <c r="FS35" i="3"/>
  <c r="FS39" i="3" s="1"/>
  <c r="FR35" i="3"/>
  <c r="FR39" i="3" s="1"/>
  <c r="FR9" i="3"/>
  <c r="FS9" i="3"/>
  <c r="FR10" i="3"/>
  <c r="FS10" i="3"/>
  <c r="FR11" i="3"/>
  <c r="FS11" i="3"/>
  <c r="FR12" i="3"/>
  <c r="FS12" i="3"/>
  <c r="FR13" i="3"/>
  <c r="FS13" i="3"/>
  <c r="FR14" i="3"/>
  <c r="FS14" i="3"/>
  <c r="FR15" i="3"/>
  <c r="FS15" i="3"/>
  <c r="FR16" i="3"/>
  <c r="FS16" i="3"/>
  <c r="FR17" i="3"/>
  <c r="FS17" i="3"/>
  <c r="FR18" i="3"/>
  <c r="FS18" i="3"/>
  <c r="FR19" i="3"/>
  <c r="FS19" i="3"/>
  <c r="FR20" i="3"/>
  <c r="FS20" i="3"/>
  <c r="FR21" i="3"/>
  <c r="FS21" i="3"/>
  <c r="FR22" i="3"/>
  <c r="FS22" i="3"/>
  <c r="FR23" i="3"/>
  <c r="FS23" i="3"/>
  <c r="FR24" i="3"/>
  <c r="FS24" i="3"/>
  <c r="FR25" i="3"/>
  <c r="FS25" i="3"/>
  <c r="FR26" i="3"/>
  <c r="FS26" i="3"/>
  <c r="FR27" i="3"/>
  <c r="FS27" i="3"/>
  <c r="FR28" i="3"/>
  <c r="FS28" i="3"/>
  <c r="FR29" i="3"/>
  <c r="FS29" i="3"/>
  <c r="FR30" i="3"/>
  <c r="FS30" i="3"/>
  <c r="FR31" i="3"/>
  <c r="FS31" i="3"/>
  <c r="FR32" i="3"/>
  <c r="FS32" i="3"/>
  <c r="FR33" i="3"/>
  <c r="FS33" i="3"/>
  <c r="FN34" i="3"/>
  <c r="FO34" i="3"/>
  <c r="FP34" i="3"/>
  <c r="FQ34" i="3"/>
  <c r="FT34" i="3"/>
  <c r="FU34" i="3"/>
  <c r="J34" i="14" l="1"/>
  <c r="I36" i="14"/>
  <c r="FU36" i="3"/>
  <c r="FU40" i="3" s="1"/>
  <c r="FU38" i="3"/>
  <c r="FT36" i="3"/>
  <c r="FT40" i="3" s="1"/>
  <c r="FT38" i="3"/>
  <c r="FN36" i="3"/>
  <c r="FN40" i="3" s="1"/>
  <c r="FN38" i="3"/>
  <c r="FO36" i="3"/>
  <c r="FO40" i="3" s="1"/>
  <c r="FO38" i="3"/>
  <c r="FQ36" i="3"/>
  <c r="FQ38" i="3"/>
  <c r="FP36" i="3"/>
  <c r="FP40" i="3" s="1"/>
  <c r="FP38" i="3"/>
  <c r="D36" i="14"/>
  <c r="FR34" i="3"/>
  <c r="FS34" i="3"/>
  <c r="FL9" i="3"/>
  <c r="FM9" i="3"/>
  <c r="FL10" i="3"/>
  <c r="FM10" i="3"/>
  <c r="FL11" i="3"/>
  <c r="FM11" i="3"/>
  <c r="FL12" i="3"/>
  <c r="FM12" i="3"/>
  <c r="FL13" i="3"/>
  <c r="FM13" i="3"/>
  <c r="FL14" i="3"/>
  <c r="FM14" i="3"/>
  <c r="FL15" i="3"/>
  <c r="FM15" i="3"/>
  <c r="FL16" i="3"/>
  <c r="FM16" i="3"/>
  <c r="FL17" i="3"/>
  <c r="FM17" i="3"/>
  <c r="FL18" i="3"/>
  <c r="FM18" i="3"/>
  <c r="FL19" i="3"/>
  <c r="FM19" i="3"/>
  <c r="FL20" i="3"/>
  <c r="FM20" i="3"/>
  <c r="FL21" i="3"/>
  <c r="FM21" i="3"/>
  <c r="FL22" i="3"/>
  <c r="FM22" i="3"/>
  <c r="FL23" i="3"/>
  <c r="FM23" i="3"/>
  <c r="FL24" i="3"/>
  <c r="FM24" i="3"/>
  <c r="FL25" i="3"/>
  <c r="FM25" i="3"/>
  <c r="FL26" i="3"/>
  <c r="FM26" i="3"/>
  <c r="FL27" i="3"/>
  <c r="FM27" i="3"/>
  <c r="FL28" i="3"/>
  <c r="FM28" i="3"/>
  <c r="FL29" i="3"/>
  <c r="FM29" i="3"/>
  <c r="FL30" i="3"/>
  <c r="FM30" i="3"/>
  <c r="FL31" i="3"/>
  <c r="FM31" i="3"/>
  <c r="FL32" i="3"/>
  <c r="FM32" i="3"/>
  <c r="FL33" i="3"/>
  <c r="FM33" i="3"/>
  <c r="FI34" i="3"/>
  <c r="FJ34" i="3"/>
  <c r="FK34" i="3"/>
  <c r="FQ42" i="3" l="1"/>
  <c r="FP42" i="3"/>
  <c r="FP44" i="3"/>
  <c r="FK36" i="3"/>
  <c r="FK40" i="3" s="1"/>
  <c r="FK38" i="3"/>
  <c r="FJ36" i="3"/>
  <c r="FJ38" i="3"/>
  <c r="FJ42" i="3" s="1"/>
  <c r="FI36" i="3"/>
  <c r="FI40" i="3" s="1"/>
  <c r="FI41" i="3" s="1"/>
  <c r="FI38" i="3"/>
  <c r="FQ40" i="3"/>
  <c r="FQ44" i="3" s="1"/>
  <c r="FS36" i="3"/>
  <c r="FS40" i="3" s="1"/>
  <c r="FS38" i="3"/>
  <c r="FR36" i="3"/>
  <c r="FR40" i="3" s="1"/>
  <c r="FR38" i="3"/>
  <c r="FL34" i="3"/>
  <c r="FM34" i="3"/>
  <c r="E36" i="14" l="1"/>
  <c r="GB47" i="3"/>
  <c r="FJ40" i="3"/>
  <c r="FJ44" i="3" s="1"/>
  <c r="FM36" i="3"/>
  <c r="FM40" i="3" s="1"/>
  <c r="FM38" i="3"/>
  <c r="FK42" i="3"/>
  <c r="FL36" i="3"/>
  <c r="FL40" i="3" s="1"/>
  <c r="FL38" i="3"/>
  <c r="FK44" i="3"/>
  <c r="G36" i="14" l="1"/>
  <c r="J36" i="14" s="1"/>
  <c r="H36" i="14"/>
  <c r="FK41" i="3"/>
  <c r="FL41" i="3" s="1"/>
  <c r="F18" i="11" l="1"/>
  <c r="B9" i="4" l="1"/>
  <c r="B10" i="4"/>
  <c r="B11" i="4"/>
  <c r="B12" i="4"/>
  <c r="CS11" i="3" l="1"/>
  <c r="CD10" i="3"/>
  <c r="CD9" i="3"/>
  <c r="CD11" i="3"/>
  <c r="CJ9" i="3"/>
  <c r="CJ11" i="3"/>
  <c r="CJ10" i="3"/>
  <c r="P115" i="1" l="1"/>
  <c r="Q115" i="1"/>
  <c r="S115" i="1"/>
  <c r="T115" i="1"/>
  <c r="U115" i="1"/>
  <c r="V115" i="1"/>
  <c r="W115" i="1"/>
  <c r="Y115" i="1"/>
  <c r="Z115" i="1"/>
  <c r="AA115" i="1"/>
  <c r="L115" i="1"/>
  <c r="L114" i="1" s="1"/>
  <c r="E115" i="1"/>
  <c r="E114" i="1" s="1"/>
  <c r="AB115" i="1" l="1"/>
  <c r="AC115" i="1"/>
  <c r="X115" i="1"/>
  <c r="R115" i="1"/>
  <c r="IX9" i="3" l="1"/>
  <c r="IY9" i="3"/>
  <c r="IX10" i="3"/>
  <c r="IY10" i="3"/>
  <c r="IX11" i="3"/>
  <c r="IY11" i="3"/>
  <c r="IX12" i="3"/>
  <c r="IY12" i="3"/>
  <c r="IX13" i="3"/>
  <c r="IY13" i="3"/>
  <c r="IX14" i="3"/>
  <c r="IY14" i="3"/>
  <c r="IX15" i="3"/>
  <c r="IY15" i="3"/>
  <c r="IX16" i="3"/>
  <c r="IY16" i="3"/>
  <c r="IX17" i="3"/>
  <c r="IY17" i="3"/>
  <c r="IX18" i="3"/>
  <c r="IY18" i="3"/>
  <c r="IX19" i="3"/>
  <c r="IY19" i="3"/>
  <c r="IX20" i="3"/>
  <c r="IY20" i="3"/>
  <c r="IX21" i="3"/>
  <c r="IY21" i="3"/>
  <c r="IX22" i="3"/>
  <c r="IY22" i="3"/>
  <c r="IX23" i="3"/>
  <c r="IY23" i="3"/>
  <c r="IX24" i="3"/>
  <c r="IY24" i="3"/>
  <c r="IX25" i="3"/>
  <c r="IY25" i="3"/>
  <c r="IX26" i="3"/>
  <c r="IY26" i="3"/>
  <c r="IX27" i="3"/>
  <c r="IY27" i="3"/>
  <c r="IX28" i="3"/>
  <c r="IY28" i="3"/>
  <c r="IX29" i="3"/>
  <c r="IY29" i="3"/>
  <c r="IX30" i="3"/>
  <c r="IY30" i="3"/>
  <c r="IX31" i="3"/>
  <c r="IY31" i="3"/>
  <c r="IX32" i="3"/>
  <c r="IY32" i="3"/>
  <c r="IX33" i="3"/>
  <c r="IY33" i="3"/>
  <c r="IX34" i="3" l="1"/>
  <c r="IY34" i="3"/>
  <c r="IY38" i="3" s="1"/>
  <c r="BI64" i="3"/>
  <c r="IX36" i="3" l="1"/>
  <c r="IX40" i="3" s="1"/>
  <c r="IX38" i="3"/>
  <c r="F9" i="15"/>
  <c r="IY36" i="3"/>
  <c r="IY40" i="3" s="1"/>
  <c r="CM34" i="3"/>
  <c r="CN34" i="3" l="1"/>
  <c r="CN36" i="3" s="1"/>
  <c r="EZ9" i="3" l="1"/>
  <c r="EZ13" i="3"/>
  <c r="EZ17" i="3"/>
  <c r="EZ21" i="3"/>
  <c r="EZ10" i="3"/>
  <c r="EZ14" i="3"/>
  <c r="EZ18" i="3"/>
  <c r="EZ22" i="3"/>
  <c r="EZ26" i="3"/>
  <c r="EZ30" i="3"/>
  <c r="EZ11" i="3"/>
  <c r="EZ15" i="3"/>
  <c r="EZ19" i="3"/>
  <c r="EZ23" i="3"/>
  <c r="EZ27" i="3"/>
  <c r="EZ31" i="3"/>
  <c r="EZ12" i="3"/>
  <c r="EZ16" i="3"/>
  <c r="EZ20" i="3"/>
  <c r="EZ24" i="3"/>
  <c r="EZ28" i="3"/>
  <c r="EZ32" i="3"/>
  <c r="EZ25" i="3"/>
  <c r="EZ29" i="3"/>
  <c r="EZ33" i="3"/>
  <c r="EW34" i="3"/>
  <c r="EW36" i="3" s="1"/>
  <c r="EY34" i="3"/>
  <c r="FA34" i="3" l="1"/>
  <c r="EY36" i="3"/>
  <c r="EZ34" i="3"/>
  <c r="P34" i="3" l="1"/>
  <c r="Q34" i="3"/>
  <c r="R34" i="3"/>
  <c r="M34" i="3"/>
  <c r="N34" i="3"/>
  <c r="E133" i="1" l="1"/>
  <c r="P116" i="1"/>
  <c r="Q116" i="1"/>
  <c r="S116" i="1"/>
  <c r="T116" i="1"/>
  <c r="U116" i="1"/>
  <c r="Y116" i="1"/>
  <c r="Z116" i="1"/>
  <c r="AA116" i="1"/>
  <c r="L116" i="1"/>
  <c r="X116" i="1" s="1"/>
  <c r="E116" i="1"/>
  <c r="R116" i="1" s="1"/>
  <c r="L108" i="1"/>
  <c r="L107" i="1" s="1"/>
  <c r="X107" i="1" s="1"/>
  <c r="L105" i="1"/>
  <c r="L104" i="1" s="1"/>
  <c r="X104" i="1" s="1"/>
  <c r="L101" i="1"/>
  <c r="L100" i="1" s="1"/>
  <c r="X100" i="1" s="1"/>
  <c r="L99" i="1"/>
  <c r="L98" i="1" s="1"/>
  <c r="X98" i="1" s="1"/>
  <c r="L97" i="1"/>
  <c r="L96" i="1" s="1"/>
  <c r="X96" i="1" s="1"/>
  <c r="E108" i="1"/>
  <c r="E107" i="1" s="1"/>
  <c r="R107" i="1" s="1"/>
  <c r="E105" i="1"/>
  <c r="E104" i="1" s="1"/>
  <c r="R104" i="1" s="1"/>
  <c r="E101" i="1"/>
  <c r="E100" i="1" s="1"/>
  <c r="R100" i="1" s="1"/>
  <c r="E99" i="1"/>
  <c r="E98" i="1" s="1"/>
  <c r="R98" i="1" s="1"/>
  <c r="E97" i="1"/>
  <c r="E96" i="1" s="1"/>
  <c r="R96" i="1" s="1"/>
  <c r="V97" i="1"/>
  <c r="U97" i="1"/>
  <c r="T97" i="1"/>
  <c r="AA108" i="1"/>
  <c r="Z108" i="1"/>
  <c r="W108" i="1"/>
  <c r="V108" i="1"/>
  <c r="U108" i="1"/>
  <c r="T108" i="1"/>
  <c r="Q108" i="1"/>
  <c r="P108" i="1"/>
  <c r="AA107" i="1"/>
  <c r="Z107" i="1"/>
  <c r="Y107" i="1"/>
  <c r="W107" i="1"/>
  <c r="V107" i="1"/>
  <c r="U107" i="1"/>
  <c r="T107" i="1"/>
  <c r="S107" i="1"/>
  <c r="Q107" i="1"/>
  <c r="P107" i="1"/>
  <c r="AA105" i="1"/>
  <c r="Z105" i="1"/>
  <c r="W105" i="1"/>
  <c r="V105" i="1"/>
  <c r="U105" i="1"/>
  <c r="T105" i="1"/>
  <c r="Q105" i="1"/>
  <c r="P105" i="1"/>
  <c r="AA104" i="1"/>
  <c r="Z104" i="1"/>
  <c r="Y104" i="1"/>
  <c r="W104" i="1"/>
  <c r="V104" i="1"/>
  <c r="U104" i="1"/>
  <c r="T104" i="1"/>
  <c r="S104" i="1"/>
  <c r="Q104" i="1"/>
  <c r="P104" i="1"/>
  <c r="AA106" i="1"/>
  <c r="Z106" i="1"/>
  <c r="Y106" i="1"/>
  <c r="W106" i="1"/>
  <c r="V106" i="1"/>
  <c r="U106" i="1"/>
  <c r="T106" i="1"/>
  <c r="S106" i="1"/>
  <c r="Q106" i="1"/>
  <c r="P106" i="1"/>
  <c r="AA103" i="1"/>
  <c r="Z103" i="1"/>
  <c r="Y103" i="1"/>
  <c r="W103" i="1"/>
  <c r="V103" i="1"/>
  <c r="U103" i="1"/>
  <c r="T103" i="1"/>
  <c r="S103" i="1"/>
  <c r="Q103" i="1"/>
  <c r="P103" i="1"/>
  <c r="AA102" i="1"/>
  <c r="Z102" i="1"/>
  <c r="Y102" i="1"/>
  <c r="W102" i="1"/>
  <c r="V102" i="1"/>
  <c r="U102" i="1"/>
  <c r="T102" i="1"/>
  <c r="S102" i="1"/>
  <c r="Q102" i="1"/>
  <c r="P102" i="1"/>
  <c r="AA101" i="1"/>
  <c r="Z101" i="1"/>
  <c r="W101" i="1"/>
  <c r="V101" i="1"/>
  <c r="U101" i="1"/>
  <c r="T101" i="1"/>
  <c r="Q101" i="1"/>
  <c r="P101" i="1"/>
  <c r="AA100" i="1"/>
  <c r="Z100" i="1"/>
  <c r="Y100" i="1"/>
  <c r="W100" i="1"/>
  <c r="V100" i="1"/>
  <c r="U100" i="1"/>
  <c r="T100" i="1"/>
  <c r="S100" i="1"/>
  <c r="Q100" i="1"/>
  <c r="P100" i="1"/>
  <c r="AA99" i="1"/>
  <c r="Z99" i="1"/>
  <c r="W99" i="1"/>
  <c r="V99" i="1"/>
  <c r="U99" i="1"/>
  <c r="T99" i="1"/>
  <c r="Q99" i="1"/>
  <c r="P99" i="1"/>
  <c r="AA98" i="1"/>
  <c r="Z98" i="1"/>
  <c r="Y98" i="1"/>
  <c r="W98" i="1"/>
  <c r="V98" i="1"/>
  <c r="U98" i="1"/>
  <c r="T98" i="1"/>
  <c r="S98" i="1"/>
  <c r="Q98" i="1"/>
  <c r="P98" i="1"/>
  <c r="AA97" i="1"/>
  <c r="Z97" i="1"/>
  <c r="AF97" i="1" s="1"/>
  <c r="W97" i="1"/>
  <c r="Q97" i="1"/>
  <c r="P97" i="1"/>
  <c r="AA96" i="1"/>
  <c r="Z96" i="1"/>
  <c r="Y96" i="1"/>
  <c r="W96" i="1"/>
  <c r="V96" i="1"/>
  <c r="U96" i="1"/>
  <c r="T96" i="1"/>
  <c r="S96" i="1"/>
  <c r="Q96" i="1"/>
  <c r="P96" i="1"/>
  <c r="L106" i="1"/>
  <c r="X106" i="1" s="1"/>
  <c r="L103" i="1"/>
  <c r="X103" i="1" s="1"/>
  <c r="L102" i="1"/>
  <c r="X102" i="1" s="1"/>
  <c r="E106" i="1"/>
  <c r="R106" i="1" s="1"/>
  <c r="E103" i="1"/>
  <c r="R103" i="1" s="1"/>
  <c r="E102" i="1"/>
  <c r="R102" i="1" s="1"/>
  <c r="AE100" i="1" l="1"/>
  <c r="AF96" i="1"/>
  <c r="AE103" i="1"/>
  <c r="AE104" i="1"/>
  <c r="AD104" i="1"/>
  <c r="AD103" i="1"/>
  <c r="AF100" i="1"/>
  <c r="AF101" i="1"/>
  <c r="AF103" i="1"/>
  <c r="AF104" i="1"/>
  <c r="AF105" i="1"/>
  <c r="AD96" i="1"/>
  <c r="AG99" i="1"/>
  <c r="AE98" i="1"/>
  <c r="AG101" i="1"/>
  <c r="AG103" i="1"/>
  <c r="AG104" i="1"/>
  <c r="AG105" i="1"/>
  <c r="AD98" i="1"/>
  <c r="AE96" i="1"/>
  <c r="AF98" i="1"/>
  <c r="AF99" i="1"/>
  <c r="AD100" i="1"/>
  <c r="AB116" i="1"/>
  <c r="AC104" i="1"/>
  <c r="AC116" i="1"/>
  <c r="AB103" i="1"/>
  <c r="AE107" i="1"/>
  <c r="AG107" i="1"/>
  <c r="AC102" i="1"/>
  <c r="AC96" i="1"/>
  <c r="AB102" i="1"/>
  <c r="AC107" i="1"/>
  <c r="AB105" i="1"/>
  <c r="AC100" i="1"/>
  <c r="AC103" i="1"/>
  <c r="AB104" i="1"/>
  <c r="AF107" i="1"/>
  <c r="AB107" i="1"/>
  <c r="AF108" i="1"/>
  <c r="AB108" i="1"/>
  <c r="AC108" i="1"/>
  <c r="AB106" i="1"/>
  <c r="AC106" i="1"/>
  <c r="AC105" i="1"/>
  <c r="AC101" i="1"/>
  <c r="AB101" i="1"/>
  <c r="AB100" i="1"/>
  <c r="AB98" i="1"/>
  <c r="AC98" i="1"/>
  <c r="AC99" i="1"/>
  <c r="AB99" i="1"/>
  <c r="AD107" i="1"/>
  <c r="AC97" i="1"/>
  <c r="AB97" i="1"/>
  <c r="AB96" i="1"/>
  <c r="E27" i="1" l="1"/>
  <c r="L12" i="1"/>
  <c r="E9" i="11" l="1"/>
  <c r="F9" i="11"/>
  <c r="E10" i="11"/>
  <c r="F10" i="11"/>
  <c r="E11" i="11"/>
  <c r="F11" i="11"/>
  <c r="E12" i="11"/>
  <c r="F12" i="11"/>
  <c r="E13" i="11"/>
  <c r="F13" i="11"/>
  <c r="E14" i="11"/>
  <c r="F14" i="11"/>
  <c r="E15" i="11"/>
  <c r="F15" i="11"/>
  <c r="E16" i="11"/>
  <c r="F16" i="11"/>
  <c r="E17" i="11"/>
  <c r="F17" i="11"/>
  <c r="E18" i="11"/>
  <c r="E19" i="11"/>
  <c r="F19" i="11"/>
  <c r="E20" i="11"/>
  <c r="F20" i="11"/>
  <c r="E21" i="11"/>
  <c r="F21" i="11"/>
  <c r="E22" i="11"/>
  <c r="F22" i="11"/>
  <c r="E23" i="11"/>
  <c r="F23" i="11"/>
  <c r="E24" i="11"/>
  <c r="F24" i="11"/>
  <c r="E25" i="11"/>
  <c r="F25" i="11"/>
  <c r="E26" i="11"/>
  <c r="F26" i="11"/>
  <c r="E27" i="11"/>
  <c r="F27" i="11"/>
  <c r="E28" i="11"/>
  <c r="F28" i="11"/>
  <c r="E29" i="11"/>
  <c r="F29" i="11"/>
  <c r="E30" i="11"/>
  <c r="F30" i="11"/>
  <c r="E31" i="11"/>
  <c r="F31" i="11"/>
  <c r="E32" i="11"/>
  <c r="F32" i="11"/>
  <c r="E33" i="11"/>
  <c r="F33" i="11"/>
  <c r="F8" i="11"/>
  <c r="E8" i="11"/>
  <c r="B9" i="11"/>
  <c r="C9" i="11"/>
  <c r="B10" i="11"/>
  <c r="C10" i="11"/>
  <c r="B11" i="11"/>
  <c r="C11" i="11"/>
  <c r="B12" i="11"/>
  <c r="C12" i="11"/>
  <c r="B13" i="11"/>
  <c r="C13" i="11"/>
  <c r="B14" i="11"/>
  <c r="C14" i="11"/>
  <c r="B15" i="11"/>
  <c r="C15" i="11"/>
  <c r="B16" i="11"/>
  <c r="C16" i="11"/>
  <c r="B17" i="11"/>
  <c r="C17" i="11"/>
  <c r="B18" i="11"/>
  <c r="C18" i="11"/>
  <c r="I18" i="11" s="1"/>
  <c r="B19" i="11"/>
  <c r="C19" i="11"/>
  <c r="B20" i="11"/>
  <c r="C20"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C8" i="11"/>
  <c r="B8" i="11"/>
  <c r="IU34" i="3"/>
  <c r="IV34" i="3"/>
  <c r="E38" i="15" s="1"/>
  <c r="F38" i="15" s="1"/>
  <c r="IW34" i="3"/>
  <c r="I16" i="11" l="1"/>
  <c r="I14" i="11"/>
  <c r="I12" i="11"/>
  <c r="I13" i="11"/>
  <c r="H33" i="11"/>
  <c r="H31" i="11"/>
  <c r="H29" i="11"/>
  <c r="H27" i="11"/>
  <c r="H23" i="11"/>
  <c r="H21" i="11"/>
  <c r="H19" i="11"/>
  <c r="I24" i="11"/>
  <c r="I22" i="11"/>
  <c r="H18" i="11"/>
  <c r="H16" i="11"/>
  <c r="H14" i="11"/>
  <c r="H12" i="11"/>
  <c r="H32" i="11"/>
  <c r="H30" i="11"/>
  <c r="H28" i="11"/>
  <c r="H26" i="11"/>
  <c r="H24" i="11"/>
  <c r="H22" i="11"/>
  <c r="I27" i="11"/>
  <c r="I23" i="11"/>
  <c r="I19" i="11"/>
  <c r="H17" i="11"/>
  <c r="H15" i="11"/>
  <c r="H13" i="11"/>
  <c r="H11" i="11"/>
  <c r="H9" i="11"/>
  <c r="IU36" i="3"/>
  <c r="IU40" i="3" s="1"/>
  <c r="IU38" i="3"/>
  <c r="IW42" i="3"/>
  <c r="IW38" i="3"/>
  <c r="IV36" i="3"/>
  <c r="IV42" i="3"/>
  <c r="IV38" i="3"/>
  <c r="E9" i="15"/>
  <c r="IW36" i="3"/>
  <c r="D9" i="15"/>
  <c r="G18" i="11"/>
  <c r="D32" i="11"/>
  <c r="D30" i="11"/>
  <c r="D28" i="11"/>
  <c r="D26" i="11"/>
  <c r="D24" i="11"/>
  <c r="D22" i="11"/>
  <c r="D20" i="11"/>
  <c r="D16" i="11"/>
  <c r="D14" i="11"/>
  <c r="D12" i="11"/>
  <c r="D10" i="11"/>
  <c r="D33" i="11"/>
  <c r="D31" i="11"/>
  <c r="D29" i="11"/>
  <c r="D27" i="11"/>
  <c r="D25" i="11"/>
  <c r="D23" i="11"/>
  <c r="D21" i="11"/>
  <c r="D19" i="11"/>
  <c r="D17" i="11"/>
  <c r="D15" i="11"/>
  <c r="D13" i="11"/>
  <c r="D11" i="11"/>
  <c r="D9" i="11"/>
  <c r="G33" i="11"/>
  <c r="G29" i="11"/>
  <c r="J29" i="11" s="1"/>
  <c r="G25" i="11"/>
  <c r="G21" i="11"/>
  <c r="G14" i="11"/>
  <c r="J14" i="11" s="1"/>
  <c r="G12" i="11"/>
  <c r="J12" i="11" s="1"/>
  <c r="D18" i="11"/>
  <c r="G32" i="11"/>
  <c r="G30" i="11"/>
  <c r="G28" i="11"/>
  <c r="G26" i="11"/>
  <c r="G24" i="11"/>
  <c r="G22" i="11"/>
  <c r="G20" i="11"/>
  <c r="G31" i="11"/>
  <c r="G27" i="11"/>
  <c r="G23" i="11"/>
  <c r="J23" i="11" s="1"/>
  <c r="G19" i="11"/>
  <c r="G16" i="11"/>
  <c r="G10" i="11"/>
  <c r="G17" i="11"/>
  <c r="G15" i="11"/>
  <c r="G13" i="11"/>
  <c r="G11" i="11"/>
  <c r="G9" i="11"/>
  <c r="B34" i="11"/>
  <c r="I8" i="11"/>
  <c r="H8" i="11"/>
  <c r="E34" i="11"/>
  <c r="C34" i="11"/>
  <c r="D8" i="11"/>
  <c r="G8" i="11"/>
  <c r="F34" i="11"/>
  <c r="J21" i="11" l="1"/>
  <c r="J13" i="11"/>
  <c r="J11" i="11"/>
  <c r="J10" i="11"/>
  <c r="J27" i="11"/>
  <c r="J18" i="11"/>
  <c r="J22" i="11"/>
  <c r="J30" i="11"/>
  <c r="J19" i="11"/>
  <c r="J20" i="11"/>
  <c r="J28" i="11"/>
  <c r="J9" i="11"/>
  <c r="J17" i="11"/>
  <c r="J33" i="11"/>
  <c r="J16" i="11"/>
  <c r="J31" i="11"/>
  <c r="J26" i="11"/>
  <c r="J25" i="11"/>
  <c r="J24" i="11"/>
  <c r="J32" i="11"/>
  <c r="J15" i="11"/>
  <c r="I34" i="11"/>
  <c r="H34" i="11"/>
  <c r="E36" i="11"/>
  <c r="H36" i="11" s="1"/>
  <c r="IV44" i="3"/>
  <c r="IV40" i="3"/>
  <c r="IW44" i="3"/>
  <c r="IW40" i="3"/>
  <c r="F36" i="11"/>
  <c r="C36" i="11"/>
  <c r="D36" i="11" s="1"/>
  <c r="G35" i="11"/>
  <c r="J35" i="11" s="1"/>
  <c r="D34" i="11"/>
  <c r="J8" i="11"/>
  <c r="G34" i="11"/>
  <c r="J34" i="11" l="1"/>
  <c r="I36" i="11"/>
  <c r="G36" i="11"/>
  <c r="J36" i="11" s="1"/>
  <c r="N9" i="2" l="1"/>
  <c r="O9" i="2"/>
  <c r="E9" i="4"/>
  <c r="F9" i="4"/>
  <c r="G9" i="4" l="1"/>
  <c r="BH12" i="3"/>
  <c r="BH13" i="3"/>
  <c r="BH14" i="3"/>
  <c r="BH15" i="3"/>
  <c r="BH16" i="3"/>
  <c r="BH17" i="3"/>
  <c r="BH18" i="3"/>
  <c r="BH19" i="3"/>
  <c r="BH20" i="3"/>
  <c r="BH21" i="3"/>
  <c r="BH22" i="3"/>
  <c r="BH23" i="3"/>
  <c r="BH24" i="3"/>
  <c r="BH25" i="3"/>
  <c r="BH26" i="3"/>
  <c r="BH27" i="3"/>
  <c r="BH28" i="3"/>
  <c r="BH29" i="3"/>
  <c r="BH30" i="3"/>
  <c r="BH31" i="3"/>
  <c r="BH32" i="3"/>
  <c r="BH33" i="3"/>
  <c r="BB12" i="3"/>
  <c r="BB13" i="3"/>
  <c r="BB14" i="3"/>
  <c r="BB15" i="3"/>
  <c r="BB16" i="3"/>
  <c r="BB17" i="3"/>
  <c r="BB18" i="3"/>
  <c r="BB19" i="3"/>
  <c r="BB20" i="3"/>
  <c r="BB21" i="3"/>
  <c r="BB22" i="3"/>
  <c r="BB23" i="3"/>
  <c r="BB24" i="3"/>
  <c r="BB25" i="3"/>
  <c r="BB26" i="3"/>
  <c r="BB27" i="3"/>
  <c r="BB28" i="3"/>
  <c r="BB29" i="3"/>
  <c r="BB30" i="3"/>
  <c r="BB31" i="3"/>
  <c r="BB32" i="3"/>
  <c r="BB33" i="3"/>
  <c r="C9" i="4"/>
  <c r="C10" i="4"/>
  <c r="C11" i="4"/>
  <c r="C12" i="4"/>
  <c r="D12" i="4" l="1"/>
  <c r="D11" i="4"/>
  <c r="D10" i="4"/>
  <c r="D9" i="4"/>
  <c r="BJ39" i="3"/>
  <c r="BJ40" i="3" l="1"/>
  <c r="BJ41" i="3"/>
  <c r="DA34" i="3" l="1"/>
  <c r="DB34" i="3"/>
  <c r="DJ34" i="3"/>
  <c r="DI34" i="3"/>
  <c r="DE34" i="3"/>
  <c r="CU34" i="3"/>
  <c r="CO34" i="3"/>
  <c r="CK34" i="3"/>
  <c r="CH34" i="3"/>
  <c r="CF34" i="3"/>
  <c r="CB34" i="3"/>
  <c r="BZ34" i="3"/>
  <c r="AI34" i="3"/>
  <c r="F34" i="4"/>
  <c r="E34" i="4"/>
  <c r="DK33" i="3"/>
  <c r="O34" i="2" s="1"/>
  <c r="O34" i="4"/>
  <c r="N34" i="4"/>
  <c r="K34" i="4"/>
  <c r="R34" i="4"/>
  <c r="Q34" i="4"/>
  <c r="I34" i="4"/>
  <c r="H34" i="4"/>
  <c r="C34" i="4"/>
  <c r="B34" i="4"/>
  <c r="F33" i="4"/>
  <c r="E33" i="4"/>
  <c r="DK32" i="3"/>
  <c r="O33" i="2" s="1"/>
  <c r="O33" i="4"/>
  <c r="N33" i="4"/>
  <c r="K33" i="4"/>
  <c r="R33" i="4"/>
  <c r="Q33" i="4"/>
  <c r="I33" i="4"/>
  <c r="H33" i="4"/>
  <c r="C33" i="4"/>
  <c r="B33" i="4"/>
  <c r="F32" i="4"/>
  <c r="E32" i="4"/>
  <c r="DK31" i="3"/>
  <c r="O32" i="2" s="1"/>
  <c r="O32" i="4"/>
  <c r="N32" i="4"/>
  <c r="K32" i="4"/>
  <c r="R32" i="4"/>
  <c r="Q32" i="4"/>
  <c r="I32" i="4"/>
  <c r="H32" i="4"/>
  <c r="C32" i="4"/>
  <c r="B32" i="4"/>
  <c r="F31" i="4"/>
  <c r="E31" i="4"/>
  <c r="DK30" i="3"/>
  <c r="O31" i="2" s="1"/>
  <c r="O31" i="4"/>
  <c r="N31" i="4"/>
  <c r="K31" i="4"/>
  <c r="R31" i="4"/>
  <c r="Q31" i="4"/>
  <c r="I31" i="4"/>
  <c r="H31" i="4"/>
  <c r="C31" i="4"/>
  <c r="B31" i="4"/>
  <c r="F30" i="4"/>
  <c r="E30" i="4"/>
  <c r="DK29" i="3"/>
  <c r="O30" i="2" s="1"/>
  <c r="O30" i="4"/>
  <c r="N30" i="4"/>
  <c r="K30" i="4"/>
  <c r="R30" i="4"/>
  <c r="Q30" i="4"/>
  <c r="I30" i="4"/>
  <c r="H30" i="4"/>
  <c r="C30" i="4"/>
  <c r="B30" i="4"/>
  <c r="AL29" i="3"/>
  <c r="F30" i="2" s="1"/>
  <c r="F29" i="4"/>
  <c r="E29" i="4"/>
  <c r="DK28" i="3"/>
  <c r="O29" i="2" s="1"/>
  <c r="O29" i="4"/>
  <c r="N29" i="4"/>
  <c r="K29" i="4"/>
  <c r="R29" i="4"/>
  <c r="Q29" i="4"/>
  <c r="I29" i="4"/>
  <c r="H29" i="4"/>
  <c r="C29" i="4"/>
  <c r="B29" i="4"/>
  <c r="F28" i="4"/>
  <c r="E28" i="4"/>
  <c r="DK27" i="3"/>
  <c r="O28" i="2" s="1"/>
  <c r="O28" i="4"/>
  <c r="N28" i="4"/>
  <c r="K28" i="4"/>
  <c r="R28" i="4"/>
  <c r="Q28" i="4"/>
  <c r="I28" i="4"/>
  <c r="H28" i="4"/>
  <c r="C28" i="4"/>
  <c r="B28" i="4"/>
  <c r="F27" i="4"/>
  <c r="E27" i="4"/>
  <c r="DW26" i="3"/>
  <c r="DK26" i="3"/>
  <c r="O27" i="2" s="1"/>
  <c r="O27" i="4"/>
  <c r="N27" i="4"/>
  <c r="K27" i="4"/>
  <c r="R27" i="4"/>
  <c r="Q27" i="4"/>
  <c r="I27" i="4"/>
  <c r="H27" i="4"/>
  <c r="C27" i="4"/>
  <c r="B27" i="4"/>
  <c r="BJ26" i="3"/>
  <c r="F26" i="4"/>
  <c r="E26" i="4"/>
  <c r="DV25" i="3"/>
  <c r="DK25" i="3"/>
  <c r="O26" i="2" s="1"/>
  <c r="O26" i="4"/>
  <c r="N26" i="4"/>
  <c r="K26" i="4"/>
  <c r="R26" i="4"/>
  <c r="Q26" i="4"/>
  <c r="I26" i="4"/>
  <c r="H26" i="4"/>
  <c r="C26" i="4"/>
  <c r="B26" i="4"/>
  <c r="F25" i="4"/>
  <c r="E25" i="4"/>
  <c r="DK24" i="3"/>
  <c r="O25" i="2" s="1"/>
  <c r="O25" i="4"/>
  <c r="N25" i="4"/>
  <c r="K25" i="4"/>
  <c r="R25" i="4"/>
  <c r="Q25" i="4"/>
  <c r="I25" i="4"/>
  <c r="H25" i="4"/>
  <c r="C25" i="4"/>
  <c r="B25" i="4"/>
  <c r="F24" i="4"/>
  <c r="E24" i="4"/>
  <c r="DK23" i="3"/>
  <c r="O24" i="2" s="1"/>
  <c r="O24" i="4"/>
  <c r="N24" i="4"/>
  <c r="K24" i="4"/>
  <c r="R24" i="4"/>
  <c r="Q24" i="4"/>
  <c r="I24" i="4"/>
  <c r="H24" i="4"/>
  <c r="C24" i="4"/>
  <c r="B24" i="4"/>
  <c r="F23" i="4"/>
  <c r="E23" i="4"/>
  <c r="DK22" i="3"/>
  <c r="O23" i="2" s="1"/>
  <c r="O23" i="4"/>
  <c r="N23" i="4"/>
  <c r="K23" i="4"/>
  <c r="R23" i="4"/>
  <c r="Q23" i="4"/>
  <c r="I23" i="4"/>
  <c r="H23" i="4"/>
  <c r="C23" i="4"/>
  <c r="B23" i="4"/>
  <c r="AK22" i="3"/>
  <c r="E23" i="2" s="1"/>
  <c r="F22" i="4"/>
  <c r="E22" i="4"/>
  <c r="DK21" i="3"/>
  <c r="O22" i="2" s="1"/>
  <c r="O22" i="4"/>
  <c r="N22" i="4"/>
  <c r="K22" i="4"/>
  <c r="R22" i="4"/>
  <c r="Q22" i="4"/>
  <c r="I22" i="4"/>
  <c r="H22" i="4"/>
  <c r="C22" i="4"/>
  <c r="B22" i="4"/>
  <c r="F21" i="4"/>
  <c r="E21" i="4"/>
  <c r="DK20" i="3"/>
  <c r="O21" i="2" s="1"/>
  <c r="O21" i="4"/>
  <c r="N21" i="4"/>
  <c r="K21" i="4"/>
  <c r="R21" i="4"/>
  <c r="Q21" i="4"/>
  <c r="I21" i="4"/>
  <c r="H21" i="4"/>
  <c r="C21" i="4"/>
  <c r="B21" i="4"/>
  <c r="F20" i="4"/>
  <c r="E20" i="4"/>
  <c r="DK19" i="3"/>
  <c r="O20" i="2" s="1"/>
  <c r="O20" i="4"/>
  <c r="N20" i="4"/>
  <c r="K20" i="4"/>
  <c r="R20" i="4"/>
  <c r="Q20" i="4"/>
  <c r="I20" i="4"/>
  <c r="H20" i="4"/>
  <c r="C20" i="4"/>
  <c r="B20" i="4"/>
  <c r="BJ19" i="3"/>
  <c r="F19" i="4"/>
  <c r="E19" i="4"/>
  <c r="DK18" i="3"/>
  <c r="O19" i="2" s="1"/>
  <c r="O19" i="4"/>
  <c r="N19" i="4"/>
  <c r="K19" i="4"/>
  <c r="R19" i="4"/>
  <c r="Q19" i="4"/>
  <c r="I19" i="4"/>
  <c r="H19" i="4"/>
  <c r="C19" i="4"/>
  <c r="B19" i="4"/>
  <c r="F18" i="4"/>
  <c r="E18" i="4"/>
  <c r="DK17" i="3"/>
  <c r="O18" i="2" s="1"/>
  <c r="O18" i="4"/>
  <c r="N18" i="4"/>
  <c r="CS17" i="3"/>
  <c r="K18" i="4"/>
  <c r="R18" i="4"/>
  <c r="Q18" i="4"/>
  <c r="I18" i="4"/>
  <c r="H18" i="4"/>
  <c r="C18" i="4"/>
  <c r="B18" i="4"/>
  <c r="BJ17" i="3"/>
  <c r="F17" i="4"/>
  <c r="E17" i="4"/>
  <c r="DK16" i="3"/>
  <c r="O17" i="2" s="1"/>
  <c r="O17" i="4"/>
  <c r="N17" i="4"/>
  <c r="K17" i="4"/>
  <c r="R17" i="4"/>
  <c r="Q17" i="4"/>
  <c r="I17" i="4"/>
  <c r="H17" i="4"/>
  <c r="C17" i="4"/>
  <c r="B17" i="4"/>
  <c r="F16" i="4"/>
  <c r="E16" i="4"/>
  <c r="DK15" i="3"/>
  <c r="O16" i="2" s="1"/>
  <c r="O16" i="4"/>
  <c r="N16" i="4"/>
  <c r="R16" i="4"/>
  <c r="Q16" i="4"/>
  <c r="I16" i="4"/>
  <c r="H16" i="4"/>
  <c r="C16" i="4"/>
  <c r="B16" i="4"/>
  <c r="F15" i="4"/>
  <c r="E15" i="4"/>
  <c r="DK14" i="3"/>
  <c r="O15" i="2" s="1"/>
  <c r="O15" i="4"/>
  <c r="N15" i="4"/>
  <c r="K15" i="4"/>
  <c r="R15" i="4"/>
  <c r="Q15" i="4"/>
  <c r="I15" i="4"/>
  <c r="H15" i="4"/>
  <c r="C15" i="4"/>
  <c r="B15" i="4"/>
  <c r="F14" i="4"/>
  <c r="E14" i="4"/>
  <c r="DK13" i="3"/>
  <c r="O14" i="2" s="1"/>
  <c r="O14" i="4"/>
  <c r="N14" i="4"/>
  <c r="K14" i="4"/>
  <c r="R14" i="4"/>
  <c r="Q14" i="4"/>
  <c r="I14" i="4"/>
  <c r="H14" i="4"/>
  <c r="C14" i="4"/>
  <c r="B14" i="4"/>
  <c r="F13" i="4"/>
  <c r="E13" i="4"/>
  <c r="DK12" i="3"/>
  <c r="O13" i="2" s="1"/>
  <c r="O13" i="4"/>
  <c r="N13" i="4"/>
  <c r="K13" i="4"/>
  <c r="R13" i="4"/>
  <c r="Q13" i="4"/>
  <c r="I13" i="4"/>
  <c r="H13" i="4"/>
  <c r="C13" i="4"/>
  <c r="B13" i="4"/>
  <c r="F12" i="4"/>
  <c r="E12" i="4"/>
  <c r="DK11" i="3"/>
  <c r="O12" i="2" s="1"/>
  <c r="O12" i="4"/>
  <c r="N12" i="4"/>
  <c r="K12" i="4"/>
  <c r="R12" i="4"/>
  <c r="Q12" i="4"/>
  <c r="I12" i="4"/>
  <c r="H12" i="4"/>
  <c r="F11" i="4"/>
  <c r="E11" i="4"/>
  <c r="DK10" i="3"/>
  <c r="O11" i="2" s="1"/>
  <c r="O11" i="4"/>
  <c r="N11" i="4"/>
  <c r="K11" i="4"/>
  <c r="R11" i="4"/>
  <c r="Q11" i="4"/>
  <c r="I11" i="4"/>
  <c r="H11" i="4"/>
  <c r="F10" i="4"/>
  <c r="E10" i="4"/>
  <c r="DK9" i="3"/>
  <c r="O10" i="2" s="1"/>
  <c r="O10" i="4"/>
  <c r="N10" i="4"/>
  <c r="K10" i="4"/>
  <c r="R10" i="4"/>
  <c r="Q10" i="4"/>
  <c r="I10" i="4"/>
  <c r="H10" i="4"/>
  <c r="J9" i="2"/>
  <c r="O9" i="4"/>
  <c r="N9" i="4"/>
  <c r="K9" i="4"/>
  <c r="M9" i="4" s="1"/>
  <c r="R9" i="4"/>
  <c r="Q9" i="4"/>
  <c r="I9" i="4"/>
  <c r="H9" i="4"/>
  <c r="S28" i="4" l="1"/>
  <c r="S29" i="4"/>
  <c r="S27" i="4"/>
  <c r="S25" i="4"/>
  <c r="S26" i="4"/>
  <c r="S30" i="4"/>
  <c r="S31" i="4"/>
  <c r="S32" i="4"/>
  <c r="J17" i="4"/>
  <c r="J23" i="4"/>
  <c r="J24" i="4"/>
  <c r="J25" i="4"/>
  <c r="J26" i="4"/>
  <c r="J30" i="4"/>
  <c r="J31" i="4"/>
  <c r="J32" i="4"/>
  <c r="J33" i="4"/>
  <c r="J34" i="4"/>
  <c r="J11" i="4"/>
  <c r="J20" i="4"/>
  <c r="J21" i="4"/>
  <c r="J22" i="4"/>
  <c r="J28" i="4"/>
  <c r="J29" i="4"/>
  <c r="D19" i="4"/>
  <c r="D27" i="4"/>
  <c r="J10" i="4"/>
  <c r="J12" i="4"/>
  <c r="J13" i="4"/>
  <c r="J15" i="4"/>
  <c r="J18" i="4"/>
  <c r="D20" i="4"/>
  <c r="D21" i="4"/>
  <c r="D22" i="4"/>
  <c r="D17" i="4"/>
  <c r="J19" i="4"/>
  <c r="D23" i="4"/>
  <c r="D24" i="4"/>
  <c r="D25" i="4"/>
  <c r="D26" i="4"/>
  <c r="J27" i="4"/>
  <c r="D30" i="4"/>
  <c r="D31" i="4"/>
  <c r="D32" i="4"/>
  <c r="D33" i="4"/>
  <c r="D34" i="4"/>
  <c r="J14" i="4"/>
  <c r="J16" i="4"/>
  <c r="D28" i="4"/>
  <c r="D29" i="4"/>
  <c r="D13" i="4"/>
  <c r="D14" i="4"/>
  <c r="D15" i="4"/>
  <c r="D16" i="4"/>
  <c r="D18" i="4"/>
  <c r="CQ33" i="3"/>
  <c r="M15" i="4"/>
  <c r="CR14" i="3"/>
  <c r="CS14" i="3"/>
  <c r="M19" i="4"/>
  <c r="CR18" i="3"/>
  <c r="M27" i="4"/>
  <c r="CR26" i="3"/>
  <c r="CS26" i="3"/>
  <c r="M31" i="4"/>
  <c r="CR30" i="3"/>
  <c r="CS30" i="3"/>
  <c r="M18" i="4"/>
  <c r="CR17" i="3"/>
  <c r="M26" i="4"/>
  <c r="CR25" i="3"/>
  <c r="CS25" i="3"/>
  <c r="M34" i="4"/>
  <c r="CR33" i="3"/>
  <c r="CS33" i="3"/>
  <c r="M13" i="4"/>
  <c r="CS12" i="3"/>
  <c r="CR12" i="3"/>
  <c r="M17" i="4"/>
  <c r="CS16" i="3"/>
  <c r="CR16" i="3"/>
  <c r="M21" i="4"/>
  <c r="CS20" i="3"/>
  <c r="CR20" i="3"/>
  <c r="M25" i="4"/>
  <c r="CS24" i="3"/>
  <c r="CR24" i="3"/>
  <c r="M29" i="4"/>
  <c r="CS28" i="3"/>
  <c r="CR28" i="3"/>
  <c r="M33" i="4"/>
  <c r="CS32" i="3"/>
  <c r="CR32" i="3"/>
  <c r="M11" i="4"/>
  <c r="CR10" i="3"/>
  <c r="CS10" i="3"/>
  <c r="M23" i="4"/>
  <c r="CR22" i="3"/>
  <c r="CS22" i="3"/>
  <c r="M10" i="4"/>
  <c r="CR9" i="3"/>
  <c r="CS9" i="3"/>
  <c r="M14" i="4"/>
  <c r="CR13" i="3"/>
  <c r="CS13" i="3"/>
  <c r="M22" i="4"/>
  <c r="CR21" i="3"/>
  <c r="CS21" i="3"/>
  <c r="M30" i="4"/>
  <c r="CR29" i="3"/>
  <c r="CS29" i="3"/>
  <c r="M12" i="4"/>
  <c r="CR11" i="3"/>
  <c r="CS15" i="3"/>
  <c r="CR15" i="3"/>
  <c r="M20" i="4"/>
  <c r="CS19" i="3"/>
  <c r="CR19" i="3"/>
  <c r="M24" i="4"/>
  <c r="CS23" i="3"/>
  <c r="CR23" i="3"/>
  <c r="M28" i="4"/>
  <c r="CS27" i="3"/>
  <c r="CR27" i="3"/>
  <c r="M32" i="4"/>
  <c r="CS31" i="3"/>
  <c r="CR31" i="3"/>
  <c r="G19" i="4"/>
  <c r="P20" i="4"/>
  <c r="P11" i="4"/>
  <c r="S20" i="4"/>
  <c r="S11" i="4"/>
  <c r="S15" i="4"/>
  <c r="G22" i="4"/>
  <c r="G24" i="4"/>
  <c r="P25" i="4"/>
  <c r="J9" i="4"/>
  <c r="P10" i="4"/>
  <c r="G13" i="4"/>
  <c r="P14" i="4"/>
  <c r="G17" i="4"/>
  <c r="S18" i="4"/>
  <c r="S19" i="4"/>
  <c r="S22" i="4"/>
  <c r="P23" i="4"/>
  <c r="G27" i="4"/>
  <c r="P28" i="4"/>
  <c r="G31" i="4"/>
  <c r="P32" i="4"/>
  <c r="G20" i="4"/>
  <c r="S21" i="4"/>
  <c r="P21" i="4"/>
  <c r="G25" i="4"/>
  <c r="P26" i="4"/>
  <c r="M9" i="2"/>
  <c r="K9" i="2"/>
  <c r="DG10" i="3"/>
  <c r="L11" i="2" s="1"/>
  <c r="J11" i="2"/>
  <c r="DH15" i="3"/>
  <c r="M16" i="2" s="1"/>
  <c r="K16" i="2"/>
  <c r="DG20" i="3"/>
  <c r="L21" i="2" s="1"/>
  <c r="J21" i="2"/>
  <c r="DH28" i="3"/>
  <c r="M29" i="2" s="1"/>
  <c r="K29" i="2"/>
  <c r="DG31" i="3"/>
  <c r="L32" i="2" s="1"/>
  <c r="J32" i="2"/>
  <c r="DG9" i="3"/>
  <c r="L10" i="2" s="1"/>
  <c r="J10" i="2"/>
  <c r="P13" i="4"/>
  <c r="G16" i="4"/>
  <c r="P17" i="4"/>
  <c r="P18" i="4"/>
  <c r="DG19" i="3"/>
  <c r="L20" i="2" s="1"/>
  <c r="J20" i="2"/>
  <c r="P24" i="4"/>
  <c r="DG26" i="3"/>
  <c r="L27" i="2" s="1"/>
  <c r="J27" i="2"/>
  <c r="DG30" i="3"/>
  <c r="L31" i="2" s="1"/>
  <c r="J31" i="2"/>
  <c r="G33" i="4"/>
  <c r="P34" i="4"/>
  <c r="N35" i="2"/>
  <c r="P9" i="4"/>
  <c r="DH9" i="3"/>
  <c r="M10" i="2" s="1"/>
  <c r="K10" i="2"/>
  <c r="G10" i="4"/>
  <c r="G11" i="4"/>
  <c r="S12" i="4"/>
  <c r="P12" i="4"/>
  <c r="DG12" i="3"/>
  <c r="L13" i="2" s="1"/>
  <c r="J13" i="2"/>
  <c r="DH13" i="3"/>
  <c r="M14" i="2" s="1"/>
  <c r="K14" i="2"/>
  <c r="G14" i="4"/>
  <c r="P15" i="4"/>
  <c r="G15" i="4"/>
  <c r="S16" i="4"/>
  <c r="P16" i="4"/>
  <c r="DG16" i="3"/>
  <c r="L17" i="2" s="1"/>
  <c r="J17" i="2"/>
  <c r="DG17" i="3"/>
  <c r="L18" i="2" s="1"/>
  <c r="J18" i="2"/>
  <c r="DH18" i="3"/>
  <c r="M19" i="2" s="1"/>
  <c r="K19" i="2"/>
  <c r="DH19" i="3"/>
  <c r="M20" i="2" s="1"/>
  <c r="K20" i="2"/>
  <c r="G21" i="4"/>
  <c r="P22" i="4"/>
  <c r="S23" i="4"/>
  <c r="DG23" i="3"/>
  <c r="L24" i="2" s="1"/>
  <c r="J24" i="2"/>
  <c r="DH24" i="3"/>
  <c r="M25" i="2" s="1"/>
  <c r="K25" i="2"/>
  <c r="DH25" i="3"/>
  <c r="M26" i="2" s="1"/>
  <c r="K26" i="2"/>
  <c r="G26" i="4"/>
  <c r="DH26" i="3"/>
  <c r="M27" i="2" s="1"/>
  <c r="K27" i="2"/>
  <c r="G28" i="4"/>
  <c r="P29" i="4"/>
  <c r="DG29" i="3"/>
  <c r="L30" i="2" s="1"/>
  <c r="J30" i="2"/>
  <c r="DH30" i="3"/>
  <c r="M31" i="2" s="1"/>
  <c r="K31" i="2"/>
  <c r="G32" i="4"/>
  <c r="P33" i="4"/>
  <c r="DG33" i="3"/>
  <c r="L34" i="2" s="1"/>
  <c r="J34" i="2"/>
  <c r="DH11" i="3"/>
  <c r="M12" i="2" s="1"/>
  <c r="K12" i="2"/>
  <c r="DG14" i="3"/>
  <c r="L15" i="2" s="1"/>
  <c r="J15" i="2"/>
  <c r="DH21" i="3"/>
  <c r="M22" i="2" s="1"/>
  <c r="K22" i="2"/>
  <c r="DH22" i="3"/>
  <c r="M23" i="2" s="1"/>
  <c r="K23" i="2"/>
  <c r="DG27" i="3"/>
  <c r="L28" i="2" s="1"/>
  <c r="J28" i="2"/>
  <c r="DH32" i="3"/>
  <c r="M33" i="2" s="1"/>
  <c r="K33" i="2"/>
  <c r="DH10" i="3"/>
  <c r="M11" i="2" s="1"/>
  <c r="K11" i="2"/>
  <c r="G12" i="4"/>
  <c r="S13" i="4"/>
  <c r="DG13" i="3"/>
  <c r="L14" i="2" s="1"/>
  <c r="J14" i="2"/>
  <c r="DH14" i="3"/>
  <c r="M15" i="2" s="1"/>
  <c r="K15" i="2"/>
  <c r="S17" i="4"/>
  <c r="DG18" i="3"/>
  <c r="L19" i="2" s="1"/>
  <c r="J19" i="2"/>
  <c r="DH20" i="3"/>
  <c r="M21" i="2" s="1"/>
  <c r="K21" i="2"/>
  <c r="G23" i="4"/>
  <c r="S24" i="4"/>
  <c r="DG24" i="3"/>
  <c r="L25" i="2" s="1"/>
  <c r="J25" i="2"/>
  <c r="DG25" i="3"/>
  <c r="L26" i="2" s="1"/>
  <c r="J26" i="2"/>
  <c r="DH27" i="3"/>
  <c r="M28" i="2" s="1"/>
  <c r="K28" i="2"/>
  <c r="G29" i="4"/>
  <c r="P30" i="4"/>
  <c r="DH31" i="3"/>
  <c r="M32" i="2" s="1"/>
  <c r="K32" i="2"/>
  <c r="S10" i="4"/>
  <c r="DG11" i="3"/>
  <c r="L12" i="2" s="1"/>
  <c r="J12" i="2"/>
  <c r="DH12" i="3"/>
  <c r="M13" i="2" s="1"/>
  <c r="K13" i="2"/>
  <c r="S14" i="4"/>
  <c r="CQ15" i="3"/>
  <c r="K16" i="4"/>
  <c r="DG15" i="3"/>
  <c r="L16" i="2" s="1"/>
  <c r="J16" i="2"/>
  <c r="DH16" i="3"/>
  <c r="M17" i="2" s="1"/>
  <c r="K17" i="2"/>
  <c r="DH17" i="3"/>
  <c r="M18" i="2" s="1"/>
  <c r="K18" i="2"/>
  <c r="G18" i="4"/>
  <c r="P19" i="4"/>
  <c r="DG21" i="3"/>
  <c r="L22" i="2" s="1"/>
  <c r="J22" i="2"/>
  <c r="DG22" i="3"/>
  <c r="L23" i="2" s="1"/>
  <c r="J23" i="2"/>
  <c r="DH23" i="3"/>
  <c r="M24" i="2" s="1"/>
  <c r="K24" i="2"/>
  <c r="P27" i="4"/>
  <c r="DG28" i="3"/>
  <c r="L29" i="2" s="1"/>
  <c r="J29" i="2"/>
  <c r="DH29" i="3"/>
  <c r="M30" i="2" s="1"/>
  <c r="K30" i="2"/>
  <c r="G30" i="4"/>
  <c r="P31" i="4"/>
  <c r="DG32" i="3"/>
  <c r="L33" i="2" s="1"/>
  <c r="J33" i="2"/>
  <c r="DH33" i="3"/>
  <c r="M34" i="2" s="1"/>
  <c r="K34" i="2"/>
  <c r="G34" i="4"/>
  <c r="CQ25" i="3"/>
  <c r="AE29" i="3"/>
  <c r="AE22" i="3"/>
  <c r="AL22" i="3"/>
  <c r="BK22" i="3"/>
  <c r="BJ52" i="3" s="1"/>
  <c r="CD19" i="3"/>
  <c r="AL10" i="3"/>
  <c r="F11" i="2" s="1"/>
  <c r="AK11" i="3"/>
  <c r="E12" i="2" s="1"/>
  <c r="AD13" i="3"/>
  <c r="AK13" i="3"/>
  <c r="E14" i="2" s="1"/>
  <c r="CD16" i="3"/>
  <c r="DW17" i="3"/>
  <c r="AE31" i="3"/>
  <c r="AL31" i="3"/>
  <c r="F32" i="2" s="1"/>
  <c r="CD31" i="3"/>
  <c r="DW31" i="3"/>
  <c r="AD14" i="3"/>
  <c r="AH14" i="3" s="1"/>
  <c r="AK14" i="3"/>
  <c r="E15" i="2" s="1"/>
  <c r="BJ16" i="3"/>
  <c r="DW19" i="3"/>
  <c r="DW29" i="3"/>
  <c r="DV31" i="3"/>
  <c r="DW10" i="3"/>
  <c r="CY27" i="3"/>
  <c r="CD29" i="3"/>
  <c r="CJ12" i="3"/>
  <c r="DW20" i="3"/>
  <c r="AK28" i="3"/>
  <c r="E29" i="2" s="1"/>
  <c r="CD28" i="3"/>
  <c r="CY15" i="3"/>
  <c r="CJ16" i="3"/>
  <c r="DV29" i="3"/>
  <c r="CQ19" i="3"/>
  <c r="CJ19" i="3"/>
  <c r="CJ20" i="3"/>
  <c r="CJ15" i="3"/>
  <c r="CJ14" i="3"/>
  <c r="AL26" i="3"/>
  <c r="F27" i="2" s="1"/>
  <c r="E10" i="2"/>
  <c r="DW11" i="3"/>
  <c r="DW15" i="3"/>
  <c r="DW24" i="3"/>
  <c r="DW12" i="3"/>
  <c r="AE15" i="3"/>
  <c r="AJ15" i="3" s="1"/>
  <c r="DW16" i="3"/>
  <c r="BK24" i="3"/>
  <c r="BJ54" i="3" s="1"/>
  <c r="DW33" i="3"/>
  <c r="DW9" i="3"/>
  <c r="BK16" i="3"/>
  <c r="DW22" i="3"/>
  <c r="AE25" i="3"/>
  <c r="AJ25" i="3" s="1"/>
  <c r="AL25" i="3"/>
  <c r="F26" i="2" s="1"/>
  <c r="BK25" i="3"/>
  <c r="BJ55" i="3" s="1"/>
  <c r="DW28" i="3"/>
  <c r="AE33" i="3"/>
  <c r="AJ33" i="3" s="1"/>
  <c r="AL33" i="3"/>
  <c r="F34" i="2" s="1"/>
  <c r="BK33" i="3"/>
  <c r="BJ63" i="3" s="1"/>
  <c r="DV24" i="3"/>
  <c r="DV12" i="3"/>
  <c r="DX12" i="3" s="1"/>
  <c r="AD21" i="3"/>
  <c r="AH21" i="3" s="1"/>
  <c r="AK21" i="3"/>
  <c r="E22" i="2" s="1"/>
  <c r="DV28" i="3"/>
  <c r="DV15" i="3"/>
  <c r="DV21" i="3"/>
  <c r="AD24" i="3"/>
  <c r="AH24" i="3" s="1"/>
  <c r="AK24" i="3"/>
  <c r="E25" i="2" s="1"/>
  <c r="DV23" i="3"/>
  <c r="CY9" i="3"/>
  <c r="CD13" i="3"/>
  <c r="DW14" i="3"/>
  <c r="CQ28" i="3"/>
  <c r="DV17" i="3"/>
  <c r="BJ18" i="3"/>
  <c r="CD25" i="3"/>
  <c r="CJ26" i="3"/>
  <c r="CD33" i="3"/>
  <c r="AL11" i="3"/>
  <c r="F12" i="2" s="1"/>
  <c r="AE12" i="3"/>
  <c r="AJ12" i="3" s="1"/>
  <c r="AL12" i="3"/>
  <c r="F13" i="2" s="1"/>
  <c r="BK12" i="3"/>
  <c r="BJ42" i="3" s="1"/>
  <c r="AE14" i="3"/>
  <c r="AJ14" i="3" s="1"/>
  <c r="AL14" i="3"/>
  <c r="BK14" i="3"/>
  <c r="BJ44" i="3" s="1"/>
  <c r="CQ14" i="3"/>
  <c r="CY17" i="3"/>
  <c r="CJ22" i="3"/>
  <c r="CY22" i="3"/>
  <c r="CQ24" i="3"/>
  <c r="CQ27" i="3"/>
  <c r="AE30" i="3"/>
  <c r="AJ30" i="3" s="1"/>
  <c r="AL30" i="3"/>
  <c r="F31" i="2" s="1"/>
  <c r="CD30" i="3"/>
  <c r="DW30" i="3"/>
  <c r="AE32" i="3"/>
  <c r="AJ32" i="3" s="1"/>
  <c r="AL32" i="3"/>
  <c r="F33" i="2" s="1"/>
  <c r="CD32" i="3"/>
  <c r="DW32" i="3"/>
  <c r="DV9" i="3"/>
  <c r="E11" i="2"/>
  <c r="AD11" i="3"/>
  <c r="AH11" i="3" s="1"/>
  <c r="CY11" i="3"/>
  <c r="DV11" i="3"/>
  <c r="BJ12" i="3"/>
  <c r="DV13" i="3"/>
  <c r="DV14" i="3"/>
  <c r="AL15" i="3"/>
  <c r="AE16" i="3"/>
  <c r="AJ16" i="3" s="1"/>
  <c r="AL16" i="3"/>
  <c r="F17" i="2" s="1"/>
  <c r="CY16" i="3"/>
  <c r="BK18" i="3"/>
  <c r="BJ48" i="3" s="1"/>
  <c r="CD18" i="3"/>
  <c r="AD19" i="3"/>
  <c r="AH19" i="3" s="1"/>
  <c r="AK19" i="3"/>
  <c r="E20" i="2" s="1"/>
  <c r="DV19" i="3"/>
  <c r="CJ21" i="3"/>
  <c r="BJ24" i="3"/>
  <c r="AD25" i="3"/>
  <c r="AH25" i="3" s="1"/>
  <c r="AK25" i="3"/>
  <c r="E26" i="2" s="1"/>
  <c r="BJ25" i="3"/>
  <c r="AK27" i="3"/>
  <c r="E28" i="2" s="1"/>
  <c r="AE28" i="3"/>
  <c r="AJ28" i="3" s="1"/>
  <c r="BJ28" i="3"/>
  <c r="DV30" i="3"/>
  <c r="DV32" i="3"/>
  <c r="BJ27" i="3"/>
  <c r="CQ9" i="3"/>
  <c r="CQ10" i="3"/>
  <c r="CQ11" i="3"/>
  <c r="CJ13" i="3"/>
  <c r="CD23" i="3"/>
  <c r="CY26" i="3"/>
  <c r="O34" i="3"/>
  <c r="E9" i="2"/>
  <c r="AL9" i="3"/>
  <c r="F10" i="2" s="1"/>
  <c r="AL13" i="3"/>
  <c r="F14" i="2" s="1"/>
  <c r="DW13" i="3"/>
  <c r="BK15" i="3"/>
  <c r="BJ45" i="3" s="1"/>
  <c r="CD15" i="3"/>
  <c r="CJ18" i="3"/>
  <c r="DV18" i="3"/>
  <c r="DW21" i="3"/>
  <c r="CD22" i="3"/>
  <c r="BK26" i="3"/>
  <c r="CJ28" i="3"/>
  <c r="BJ29" i="3"/>
  <c r="CJ29" i="3"/>
  <c r="BJ30" i="3"/>
  <c r="CJ30" i="3"/>
  <c r="BJ31" i="3"/>
  <c r="CJ31" i="3"/>
  <c r="BJ32" i="3"/>
  <c r="CJ32" i="3"/>
  <c r="CG34" i="3"/>
  <c r="CY10" i="3"/>
  <c r="DV10" i="3"/>
  <c r="AE11" i="3"/>
  <c r="AJ11" i="3" s="1"/>
  <c r="CD12" i="3"/>
  <c r="CQ13" i="3"/>
  <c r="BK17" i="3"/>
  <c r="DW18" i="3"/>
  <c r="BK19" i="3"/>
  <c r="CJ23" i="3"/>
  <c r="CY23" i="3"/>
  <c r="CD27" i="3"/>
  <c r="CY28" i="3"/>
  <c r="CQ12" i="3"/>
  <c r="AE13" i="3"/>
  <c r="AJ13" i="3" s="1"/>
  <c r="AK15" i="3"/>
  <c r="E16" i="2" s="1"/>
  <c r="BW34" i="3"/>
  <c r="CX34" i="3"/>
  <c r="AD12" i="3"/>
  <c r="AK12" i="3"/>
  <c r="E13" i="2" s="1"/>
  <c r="BJ13" i="3"/>
  <c r="BK13" i="3"/>
  <c r="BJ43" i="3" s="1"/>
  <c r="CY13" i="3"/>
  <c r="BJ14" i="3"/>
  <c r="BJ15" i="3"/>
  <c r="AE17" i="3"/>
  <c r="AL17" i="3"/>
  <c r="F18" i="2" s="1"/>
  <c r="CJ17" i="3"/>
  <c r="AE18" i="3"/>
  <c r="AJ18" i="3" s="1"/>
  <c r="AL18" i="3"/>
  <c r="F19" i="2" s="1"/>
  <c r="CY18" i="3"/>
  <c r="CY19" i="3"/>
  <c r="BJ20" i="3"/>
  <c r="BJ21" i="3"/>
  <c r="BK21" i="3"/>
  <c r="BJ51" i="3" s="1"/>
  <c r="CD21" i="3"/>
  <c r="AK23" i="3"/>
  <c r="E24" i="2" s="1"/>
  <c r="DW23" i="3"/>
  <c r="CJ25" i="3"/>
  <c r="CY25" i="3"/>
  <c r="AE26" i="3"/>
  <c r="AJ26" i="3" s="1"/>
  <c r="DV26" i="3"/>
  <c r="DX26" i="3" s="1"/>
  <c r="CJ27" i="3"/>
  <c r="AD28" i="3"/>
  <c r="AH28" i="3" s="1"/>
  <c r="AD29" i="3"/>
  <c r="AK29" i="3"/>
  <c r="CQ29" i="3"/>
  <c r="AD30" i="3"/>
  <c r="AK30" i="3"/>
  <c r="E31" i="2" s="1"/>
  <c r="CQ30" i="3"/>
  <c r="AD31" i="3"/>
  <c r="AH31" i="3" s="1"/>
  <c r="AK31" i="3"/>
  <c r="CQ31" i="3"/>
  <c r="AD32" i="3"/>
  <c r="AK32" i="3"/>
  <c r="E33" i="2" s="1"/>
  <c r="CQ32" i="3"/>
  <c r="CD14" i="3"/>
  <c r="AD15" i="3"/>
  <c r="AH15" i="3" s="1"/>
  <c r="DV16" i="3"/>
  <c r="AD17" i="3"/>
  <c r="AH17" i="3" s="1"/>
  <c r="AK17" i="3"/>
  <c r="E18" i="2" s="1"/>
  <c r="CD17" i="3"/>
  <c r="CQ17" i="3"/>
  <c r="AE19" i="3"/>
  <c r="AL19" i="3"/>
  <c r="F20" i="2" s="1"/>
  <c r="AE20" i="3"/>
  <c r="AJ20" i="3" s="1"/>
  <c r="AL20" i="3"/>
  <c r="F21" i="2" s="1"/>
  <c r="BK20" i="3"/>
  <c r="CD20" i="3"/>
  <c r="AE21" i="3"/>
  <c r="AJ21" i="3" s="1"/>
  <c r="AL21" i="3"/>
  <c r="F22" i="2" s="1"/>
  <c r="AE23" i="3"/>
  <c r="AL23" i="3"/>
  <c r="F24" i="2" s="1"/>
  <c r="BK23" i="3"/>
  <c r="BJ53" i="3" s="1"/>
  <c r="AE24" i="3"/>
  <c r="AL24" i="3"/>
  <c r="F25" i="2" s="1"/>
  <c r="CJ24" i="3"/>
  <c r="CD26" i="3"/>
  <c r="AE27" i="3"/>
  <c r="AJ27" i="3" s="1"/>
  <c r="DV27" i="3"/>
  <c r="BK29" i="3"/>
  <c r="BJ59" i="3" s="1"/>
  <c r="CY29" i="3"/>
  <c r="BK30" i="3"/>
  <c r="BJ60" i="3" s="1"/>
  <c r="CY30" i="3"/>
  <c r="BK31" i="3"/>
  <c r="BJ61" i="3" s="1"/>
  <c r="CY31" i="3"/>
  <c r="BK32" i="3"/>
  <c r="BJ62" i="3" s="1"/>
  <c r="CY32" i="3"/>
  <c r="S34" i="3"/>
  <c r="F9" i="2"/>
  <c r="C9" i="2"/>
  <c r="BC34" i="3"/>
  <c r="BQ34" i="3"/>
  <c r="DV33" i="3"/>
  <c r="BJ33" i="3"/>
  <c r="AD33" i="3"/>
  <c r="BI34" i="3"/>
  <c r="B9" i="2"/>
  <c r="BB34" i="3"/>
  <c r="CP34" i="3"/>
  <c r="L35" i="4" s="1"/>
  <c r="CY12" i="3"/>
  <c r="CA34" i="3"/>
  <c r="CI34" i="3"/>
  <c r="DD34" i="3"/>
  <c r="DZ34" i="3"/>
  <c r="AD16" i="3"/>
  <c r="AD18" i="3"/>
  <c r="CY20" i="3"/>
  <c r="DV20" i="3"/>
  <c r="CY21" i="3"/>
  <c r="AD23" i="3"/>
  <c r="BJ23" i="3"/>
  <c r="BK28" i="3"/>
  <c r="BJ58" i="3" s="1"/>
  <c r="F34" i="3"/>
  <c r="BH34" i="3"/>
  <c r="CC34" i="3"/>
  <c r="CE34" i="3" s="1"/>
  <c r="DF34" i="3"/>
  <c r="EF34" i="3"/>
  <c r="F35" i="4" s="1"/>
  <c r="K34" i="3"/>
  <c r="AC34" i="3"/>
  <c r="DK34" i="3"/>
  <c r="AK16" i="3"/>
  <c r="E17" i="2" s="1"/>
  <c r="AK18" i="3"/>
  <c r="E19" i="2" s="1"/>
  <c r="AD20" i="3"/>
  <c r="AK20" i="3"/>
  <c r="E21" i="2" s="1"/>
  <c r="CQ20" i="3"/>
  <c r="CQ21" i="3"/>
  <c r="DV22" i="3"/>
  <c r="DW25" i="3"/>
  <c r="DX25" i="3" s="1"/>
  <c r="AD26" i="3"/>
  <c r="DU34" i="3"/>
  <c r="AD22" i="3"/>
  <c r="BJ22" i="3"/>
  <c r="BK27" i="3"/>
  <c r="BJ57" i="3" s="1"/>
  <c r="X34" i="3"/>
  <c r="CV34" i="3"/>
  <c r="CY14" i="3"/>
  <c r="CQ16" i="3"/>
  <c r="CQ18" i="3"/>
  <c r="CQ22" i="3"/>
  <c r="CQ23" i="3"/>
  <c r="CD24" i="3"/>
  <c r="AK26" i="3"/>
  <c r="E27" i="2" s="1"/>
  <c r="AD27" i="3"/>
  <c r="CY24" i="3"/>
  <c r="CQ26" i="3"/>
  <c r="AL27" i="3"/>
  <c r="F28" i="2" s="1"/>
  <c r="DW27" i="3"/>
  <c r="AL28" i="3"/>
  <c r="F29" i="2" s="1"/>
  <c r="AK33" i="3"/>
  <c r="E34" i="2" s="1"/>
  <c r="O35" i="4" l="1"/>
  <c r="CZ34" i="3"/>
  <c r="CS34" i="3"/>
  <c r="G24" i="2"/>
  <c r="M16" i="4"/>
  <c r="O35" i="2"/>
  <c r="G9" i="2"/>
  <c r="G22" i="2"/>
  <c r="G25" i="2"/>
  <c r="DX21" i="3"/>
  <c r="CR34" i="3"/>
  <c r="B17" i="2"/>
  <c r="AH16" i="3"/>
  <c r="C23" i="2"/>
  <c r="AJ22" i="3"/>
  <c r="C10" i="2"/>
  <c r="B10" i="2"/>
  <c r="B33" i="2"/>
  <c r="AH32" i="3"/>
  <c r="C18" i="2"/>
  <c r="AJ17" i="3"/>
  <c r="AJ29" i="3"/>
  <c r="C25" i="2"/>
  <c r="AJ24" i="3"/>
  <c r="B28" i="2"/>
  <c r="AH27" i="3"/>
  <c r="B23" i="2"/>
  <c r="AH22" i="3"/>
  <c r="B21" i="2"/>
  <c r="AH20" i="3"/>
  <c r="B34" i="2"/>
  <c r="AH33" i="3"/>
  <c r="B30" i="2"/>
  <c r="AH29" i="3"/>
  <c r="C32" i="2"/>
  <c r="AJ31" i="3"/>
  <c r="B14" i="2"/>
  <c r="AH13" i="3"/>
  <c r="B27" i="2"/>
  <c r="AH26" i="3"/>
  <c r="B13" i="2"/>
  <c r="AH12" i="3"/>
  <c r="B24" i="2"/>
  <c r="AH23" i="3"/>
  <c r="B19" i="2"/>
  <c r="AH18" i="3"/>
  <c r="C11" i="2"/>
  <c r="C24" i="2"/>
  <c r="AJ23" i="3"/>
  <c r="C20" i="2"/>
  <c r="AJ19" i="3"/>
  <c r="B31" i="2"/>
  <c r="AH30" i="3"/>
  <c r="G29" i="2"/>
  <c r="G19" i="2"/>
  <c r="G20" i="2"/>
  <c r="G28" i="2"/>
  <c r="DX31" i="3"/>
  <c r="DX17" i="3"/>
  <c r="G18" i="2"/>
  <c r="G33" i="2"/>
  <c r="G31" i="2"/>
  <c r="G14" i="2"/>
  <c r="G27" i="2"/>
  <c r="K35" i="2"/>
  <c r="R35" i="4"/>
  <c r="B29" i="2"/>
  <c r="G13" i="2"/>
  <c r="B15" i="2"/>
  <c r="D9" i="2"/>
  <c r="C28" i="2"/>
  <c r="AF31" i="3"/>
  <c r="B32" i="2"/>
  <c r="C33" i="2"/>
  <c r="C31" i="2"/>
  <c r="AM14" i="3"/>
  <c r="F15" i="2"/>
  <c r="C35" i="4"/>
  <c r="BL19" i="3"/>
  <c r="BJ49" i="3"/>
  <c r="DH34" i="3"/>
  <c r="M35" i="2" s="1"/>
  <c r="G10" i="2"/>
  <c r="C29" i="2"/>
  <c r="B26" i="2"/>
  <c r="AF14" i="3"/>
  <c r="C15" i="2"/>
  <c r="G12" i="2"/>
  <c r="B25" i="2"/>
  <c r="BL16" i="3"/>
  <c r="BJ46" i="3"/>
  <c r="G11" i="2"/>
  <c r="BL20" i="3"/>
  <c r="BJ50" i="3"/>
  <c r="B18" i="2"/>
  <c r="AM31" i="3"/>
  <c r="E32" i="2"/>
  <c r="G32" i="2" s="1"/>
  <c r="C14" i="2"/>
  <c r="BL17" i="3"/>
  <c r="BJ47" i="3"/>
  <c r="BK64" i="3" s="1"/>
  <c r="C17" i="2"/>
  <c r="C34" i="2"/>
  <c r="C26" i="2"/>
  <c r="H35" i="4"/>
  <c r="G21" i="2"/>
  <c r="BL26" i="3"/>
  <c r="BJ56" i="3"/>
  <c r="F16" i="2"/>
  <c r="C13" i="2"/>
  <c r="AM22" i="3"/>
  <c r="F23" i="2"/>
  <c r="N35" i="4"/>
  <c r="DG34" i="3"/>
  <c r="L35" i="2" s="1"/>
  <c r="L9" i="2"/>
  <c r="I35" i="4"/>
  <c r="E35" i="4"/>
  <c r="C22" i="2"/>
  <c r="C21" i="2"/>
  <c r="B16" i="2"/>
  <c r="AM29" i="3"/>
  <c r="E30" i="2"/>
  <c r="G30" i="2" s="1"/>
  <c r="K35" i="4"/>
  <c r="J35" i="2"/>
  <c r="B35" i="4"/>
  <c r="C27" i="2"/>
  <c r="C19" i="2"/>
  <c r="B11" i="2"/>
  <c r="C12" i="2"/>
  <c r="Q35" i="4"/>
  <c r="B20" i="2"/>
  <c r="G17" i="2"/>
  <c r="B12" i="2"/>
  <c r="B22" i="2"/>
  <c r="G34" i="2"/>
  <c r="G26" i="2"/>
  <c r="C16" i="2"/>
  <c r="C30" i="2"/>
  <c r="AM13" i="3"/>
  <c r="DX11" i="3"/>
  <c r="BL22" i="3"/>
  <c r="DX33" i="3"/>
  <c r="DX29" i="3"/>
  <c r="AM32" i="3"/>
  <c r="AF15" i="3"/>
  <c r="AM28" i="3"/>
  <c r="AF33" i="3"/>
  <c r="DX28" i="3"/>
  <c r="AM9" i="3"/>
  <c r="DX19" i="3"/>
  <c r="DX16" i="3"/>
  <c r="DX24" i="3"/>
  <c r="AM18" i="3"/>
  <c r="DX10" i="3"/>
  <c r="AM10" i="3"/>
  <c r="DX20" i="3"/>
  <c r="AM11" i="3"/>
  <c r="DX32" i="3"/>
  <c r="CY34" i="3"/>
  <c r="AF24" i="3"/>
  <c r="AM33" i="3"/>
  <c r="DX22" i="3"/>
  <c r="BL31" i="3"/>
  <c r="BL29" i="3"/>
  <c r="AF32" i="3"/>
  <c r="AM12" i="3"/>
  <c r="DX14" i="3"/>
  <c r="AM26" i="3"/>
  <c r="CJ34" i="3"/>
  <c r="BL33" i="3"/>
  <c r="BL14" i="3"/>
  <c r="BL12" i="3"/>
  <c r="BL27" i="3"/>
  <c r="BL13" i="3"/>
  <c r="AM20" i="3"/>
  <c r="AM25" i="3"/>
  <c r="AM24" i="3"/>
  <c r="AM21" i="3"/>
  <c r="AM15" i="3"/>
  <c r="BL24" i="3"/>
  <c r="BL23" i="3"/>
  <c r="AF21" i="3"/>
  <c r="BL25" i="3"/>
  <c r="DX9" i="3"/>
  <c r="DX15" i="3"/>
  <c r="BL18" i="3"/>
  <c r="BL32" i="3"/>
  <c r="BL30" i="3"/>
  <c r="BL28" i="3"/>
  <c r="DX30" i="3"/>
  <c r="AF20" i="3"/>
  <c r="AF28" i="3"/>
  <c r="DX27" i="3"/>
  <c r="AF11" i="3"/>
  <c r="AM27" i="3"/>
  <c r="AF18" i="3"/>
  <c r="AF25" i="3"/>
  <c r="AM16" i="3"/>
  <c r="AF16" i="3"/>
  <c r="AM23" i="3"/>
  <c r="AM19" i="3"/>
  <c r="AM30" i="3"/>
  <c r="DX23" i="3"/>
  <c r="DX13" i="3"/>
  <c r="AF17" i="3"/>
  <c r="AF12" i="3"/>
  <c r="AF19" i="3"/>
  <c r="DX18" i="3"/>
  <c r="AF29" i="3"/>
  <c r="AF13" i="3"/>
  <c r="AF30" i="3"/>
  <c r="AF26" i="3"/>
  <c r="AF23" i="3"/>
  <c r="BL21" i="3"/>
  <c r="AM17" i="3"/>
  <c r="BL15" i="3"/>
  <c r="CD34" i="3"/>
  <c r="DV34" i="3"/>
  <c r="AE34" i="3"/>
  <c r="DW34" i="3"/>
  <c r="BK34" i="3"/>
  <c r="CQ34" i="3"/>
  <c r="AK34" i="3"/>
  <c r="BJ34" i="3"/>
  <c r="AD34" i="3"/>
  <c r="AF27" i="3"/>
  <c r="AF22" i="3"/>
  <c r="AL34" i="3"/>
  <c r="AR37" i="3" l="1"/>
  <c r="AR38" i="3" s="1"/>
  <c r="AW37" i="3"/>
  <c r="AW38" i="3" s="1"/>
  <c r="G16" i="2"/>
  <c r="G23" i="2"/>
  <c r="G15" i="2"/>
  <c r="BJ64" i="3"/>
  <c r="D24" i="2"/>
  <c r="D23" i="2"/>
  <c r="D10" i="2"/>
  <c r="D32" i="2"/>
  <c r="G35" i="4"/>
  <c r="P35" i="4"/>
  <c r="J35" i="4"/>
  <c r="D35" i="4"/>
  <c r="D25" i="2"/>
  <c r="D18" i="2"/>
  <c r="D11" i="2"/>
  <c r="D16" i="2"/>
  <c r="D30" i="2"/>
  <c r="D19" i="2"/>
  <c r="D13" i="2"/>
  <c r="S35" i="4"/>
  <c r="D15" i="2"/>
  <c r="D29" i="2"/>
  <c r="D33" i="2"/>
  <c r="B35" i="2"/>
  <c r="D31" i="2"/>
  <c r="F35" i="2"/>
  <c r="D12" i="2"/>
  <c r="D22" i="2"/>
  <c r="D34" i="2"/>
  <c r="E35" i="2"/>
  <c r="C35" i="2"/>
  <c r="D27" i="2"/>
  <c r="M35" i="4"/>
  <c r="D21" i="2"/>
  <c r="D26" i="2"/>
  <c r="D17" i="2"/>
  <c r="D14" i="2"/>
  <c r="D28" i="2"/>
  <c r="D20" i="2"/>
  <c r="DX34" i="3"/>
  <c r="AH34" i="3"/>
  <c r="BL34" i="3"/>
  <c r="AM34" i="3"/>
  <c r="AF34" i="3"/>
  <c r="AJ34" i="3"/>
  <c r="G35" i="2" l="1"/>
  <c r="D35" i="2"/>
  <c r="C177" i="1"/>
  <c r="J177" i="1"/>
  <c r="L159" i="1" l="1"/>
  <c r="X159" i="1" s="1"/>
  <c r="L158" i="1"/>
  <c r="X158" i="1" s="1"/>
  <c r="L157" i="1"/>
  <c r="X157" i="1" s="1"/>
  <c r="L156" i="1"/>
  <c r="X156" i="1" s="1"/>
  <c r="L155" i="1"/>
  <c r="X155" i="1" s="1"/>
  <c r="L153" i="1"/>
  <c r="X153" i="1" s="1"/>
  <c r="L152" i="1"/>
  <c r="X152" i="1" s="1"/>
  <c r="L151" i="1"/>
  <c r="E152" i="1"/>
  <c r="R152" i="1" s="1"/>
  <c r="E153" i="1"/>
  <c r="E155" i="1"/>
  <c r="R155" i="1" s="1"/>
  <c r="E156" i="1"/>
  <c r="R156" i="1" s="1"/>
  <c r="E157" i="1"/>
  <c r="R157" i="1" s="1"/>
  <c r="R158" i="1"/>
  <c r="E159" i="1"/>
  <c r="E151" i="1"/>
  <c r="L13" i="1"/>
  <c r="X13" i="1" s="1"/>
  <c r="L14" i="1"/>
  <c r="X14" i="1" s="1"/>
  <c r="L15" i="1"/>
  <c r="X15" i="1" s="1"/>
  <c r="CC35" i="3" s="1"/>
  <c r="L16" i="1"/>
  <c r="X16" i="1" s="1"/>
  <c r="CP35" i="3" s="1"/>
  <c r="CS35" i="3" s="1"/>
  <c r="L17" i="1"/>
  <c r="X17" i="1" s="1"/>
  <c r="L18" i="1"/>
  <c r="X18" i="1" s="1"/>
  <c r="L19" i="1"/>
  <c r="X19" i="1" s="1"/>
  <c r="L20" i="1"/>
  <c r="X20" i="1" s="1"/>
  <c r="L21" i="1"/>
  <c r="L22" i="1"/>
  <c r="X22" i="1" s="1"/>
  <c r="L23" i="1"/>
  <c r="X23" i="1" s="1"/>
  <c r="L24" i="1"/>
  <c r="X24" i="1" s="1"/>
  <c r="L25" i="1"/>
  <c r="X25" i="1" s="1"/>
  <c r="L26" i="1"/>
  <c r="X26" i="1" s="1"/>
  <c r="L27" i="1"/>
  <c r="X27" i="1" s="1"/>
  <c r="L28" i="1"/>
  <c r="X28" i="1" s="1"/>
  <c r="L11" i="1"/>
  <c r="X11" i="1" s="1"/>
  <c r="BW35" i="3" s="1"/>
  <c r="BW36" i="3" s="1"/>
  <c r="L141" i="1"/>
  <c r="S35" i="3" s="1"/>
  <c r="S36" i="3" s="1"/>
  <c r="E141" i="1"/>
  <c r="E10" i="1" s="1"/>
  <c r="E12" i="1"/>
  <c r="R12" i="1" s="1"/>
  <c r="E13" i="1"/>
  <c r="R13" i="1" s="1"/>
  <c r="E14" i="1"/>
  <c r="R14" i="1" s="1"/>
  <c r="AD14" i="1" s="1"/>
  <c r="E15" i="1"/>
  <c r="R15" i="1" s="1"/>
  <c r="AD15" i="1" s="1"/>
  <c r="E16" i="1"/>
  <c r="R16" i="1" s="1"/>
  <c r="AD16" i="1" s="1"/>
  <c r="E17" i="1"/>
  <c r="R17" i="1" s="1"/>
  <c r="E18" i="1"/>
  <c r="R18" i="1" s="1"/>
  <c r="AD18" i="1" s="1"/>
  <c r="E19" i="1"/>
  <c r="R19" i="1" s="1"/>
  <c r="E20" i="1"/>
  <c r="R20" i="1" s="1"/>
  <c r="AD20" i="1" s="1"/>
  <c r="E22" i="1"/>
  <c r="R22" i="1" s="1"/>
  <c r="E23" i="1"/>
  <c r="R23" i="1" s="1"/>
  <c r="E24" i="1"/>
  <c r="R24" i="1" s="1"/>
  <c r="E25" i="1"/>
  <c r="R25" i="1" s="1"/>
  <c r="AD25" i="1" s="1"/>
  <c r="R26" i="1"/>
  <c r="E11" i="1"/>
  <c r="R11" i="1" s="1"/>
  <c r="BQ35" i="3" s="1"/>
  <c r="BQ36" i="3" s="1"/>
  <c r="AA180" i="1"/>
  <c r="Z180" i="1"/>
  <c r="Y180" i="1"/>
  <c r="W180" i="1"/>
  <c r="U180" i="1"/>
  <c r="T180" i="1"/>
  <c r="S180" i="1"/>
  <c r="Q180" i="1"/>
  <c r="L180" i="1"/>
  <c r="X180" i="1" s="1"/>
  <c r="J199" i="6" s="1"/>
  <c r="E180" i="1"/>
  <c r="R180" i="1" s="1"/>
  <c r="AA179" i="1"/>
  <c r="Z179" i="1"/>
  <c r="Y179" i="1"/>
  <c r="W179" i="1"/>
  <c r="U179" i="1"/>
  <c r="T179" i="1"/>
  <c r="S179" i="1"/>
  <c r="Q179" i="1"/>
  <c r="L179" i="1"/>
  <c r="E179" i="1"/>
  <c r="AA178" i="1"/>
  <c r="Z178" i="1"/>
  <c r="Y178" i="1"/>
  <c r="W178" i="1"/>
  <c r="U178" i="1"/>
  <c r="T178" i="1"/>
  <c r="S178" i="1"/>
  <c r="Q178" i="1"/>
  <c r="L178" i="1"/>
  <c r="I178" i="1" s="1"/>
  <c r="E178" i="1"/>
  <c r="O177" i="1"/>
  <c r="AA177" i="1" s="1"/>
  <c r="N177" i="1"/>
  <c r="Z177" i="1" s="1"/>
  <c r="M177" i="1"/>
  <c r="Y177" i="1" s="1"/>
  <c r="K177" i="1"/>
  <c r="H177" i="1"/>
  <c r="U177" i="1" s="1"/>
  <c r="G177" i="1"/>
  <c r="T177" i="1" s="1"/>
  <c r="F177" i="1"/>
  <c r="D177" i="1"/>
  <c r="AA176" i="1"/>
  <c r="Z176" i="1"/>
  <c r="Y176" i="1"/>
  <c r="W176" i="1"/>
  <c r="U176" i="1"/>
  <c r="T176" i="1"/>
  <c r="S176" i="1"/>
  <c r="Q176" i="1"/>
  <c r="O174" i="1"/>
  <c r="AA174" i="1" s="1"/>
  <c r="N174" i="1"/>
  <c r="M174" i="1"/>
  <c r="Y174" i="1" s="1"/>
  <c r="H174" i="1"/>
  <c r="U174" i="1" s="1"/>
  <c r="G174" i="1"/>
  <c r="T174" i="1" s="1"/>
  <c r="F174" i="1"/>
  <c r="AA173" i="1"/>
  <c r="Z173" i="1"/>
  <c r="Y173" i="1"/>
  <c r="W173" i="1"/>
  <c r="U173" i="1"/>
  <c r="T173" i="1"/>
  <c r="S173" i="1"/>
  <c r="Q173" i="1"/>
  <c r="L173" i="1"/>
  <c r="I173" i="1" s="1"/>
  <c r="V173" i="1" s="1"/>
  <c r="E173" i="1"/>
  <c r="R173" i="1" s="1"/>
  <c r="AA172" i="1"/>
  <c r="Z172" i="1"/>
  <c r="Y172" i="1"/>
  <c r="W172" i="1"/>
  <c r="U172" i="1"/>
  <c r="T172" i="1"/>
  <c r="S172" i="1"/>
  <c r="Q172" i="1"/>
  <c r="L172" i="1"/>
  <c r="I172" i="1" s="1"/>
  <c r="V172" i="1" s="1"/>
  <c r="E172" i="1"/>
  <c r="B172" i="1" s="1"/>
  <c r="P172" i="1" s="1"/>
  <c r="AA171" i="1"/>
  <c r="Z171" i="1"/>
  <c r="Y171" i="1"/>
  <c r="W171" i="1"/>
  <c r="U171" i="1"/>
  <c r="T171" i="1"/>
  <c r="S171" i="1"/>
  <c r="Q171" i="1"/>
  <c r="L171" i="1"/>
  <c r="I171" i="1" s="1"/>
  <c r="V171" i="1" s="1"/>
  <c r="E171" i="1"/>
  <c r="R171" i="1" s="1"/>
  <c r="DA35" i="3" s="1"/>
  <c r="DA36" i="3" s="1"/>
  <c r="C161" i="1"/>
  <c r="Q161" i="1" s="1"/>
  <c r="J160" i="1"/>
  <c r="C160" i="1"/>
  <c r="AA159" i="1"/>
  <c r="Z159" i="1"/>
  <c r="Y159" i="1"/>
  <c r="W159" i="1"/>
  <c r="V159" i="1"/>
  <c r="U159" i="1"/>
  <c r="T159" i="1"/>
  <c r="S159" i="1"/>
  <c r="Q159" i="1"/>
  <c r="AA158" i="1"/>
  <c r="Z158" i="1"/>
  <c r="Y158" i="1"/>
  <c r="W158" i="1"/>
  <c r="V158" i="1"/>
  <c r="U158" i="1"/>
  <c r="T158" i="1"/>
  <c r="S158" i="1"/>
  <c r="Q158" i="1"/>
  <c r="P158" i="1"/>
  <c r="AA157" i="1"/>
  <c r="Z157" i="1"/>
  <c r="Y157" i="1"/>
  <c r="W157" i="1"/>
  <c r="V157" i="1"/>
  <c r="U157" i="1"/>
  <c r="T157" i="1"/>
  <c r="S157" i="1"/>
  <c r="Q157" i="1"/>
  <c r="P157" i="1"/>
  <c r="AA156" i="1"/>
  <c r="Z156" i="1"/>
  <c r="Y156" i="1"/>
  <c r="W156" i="1"/>
  <c r="V156" i="1"/>
  <c r="U156" i="1"/>
  <c r="T156" i="1"/>
  <c r="S156" i="1"/>
  <c r="Q156" i="1"/>
  <c r="P156" i="1"/>
  <c r="AA155" i="1"/>
  <c r="Z155" i="1"/>
  <c r="Y155" i="1"/>
  <c r="W155" i="1"/>
  <c r="V155" i="1"/>
  <c r="U155" i="1"/>
  <c r="T155" i="1"/>
  <c r="S155" i="1"/>
  <c r="Q155" i="1"/>
  <c r="P155" i="1"/>
  <c r="AA153" i="1"/>
  <c r="Z153" i="1"/>
  <c r="Y153" i="1"/>
  <c r="W153" i="1"/>
  <c r="V153" i="1"/>
  <c r="U153" i="1"/>
  <c r="T153" i="1"/>
  <c r="S153" i="1"/>
  <c r="Q153" i="1"/>
  <c r="AA152" i="1"/>
  <c r="Z152" i="1"/>
  <c r="Y152" i="1"/>
  <c r="W152" i="1"/>
  <c r="V152" i="1"/>
  <c r="U152" i="1"/>
  <c r="T152" i="1"/>
  <c r="S152" i="1"/>
  <c r="Q152" i="1"/>
  <c r="P152" i="1"/>
  <c r="AA151" i="1"/>
  <c r="Z151" i="1"/>
  <c r="Y151" i="1"/>
  <c r="W151" i="1"/>
  <c r="V151" i="1"/>
  <c r="U151" i="1"/>
  <c r="T151" i="1"/>
  <c r="S151" i="1"/>
  <c r="Q151" i="1"/>
  <c r="O142" i="1"/>
  <c r="N142" i="1"/>
  <c r="K142" i="1"/>
  <c r="J142" i="1"/>
  <c r="I142" i="1"/>
  <c r="H142" i="1"/>
  <c r="G142" i="1"/>
  <c r="F142" i="1"/>
  <c r="D142" i="1"/>
  <c r="C142" i="1"/>
  <c r="B142" i="1"/>
  <c r="AA141" i="1"/>
  <c r="Z141" i="1"/>
  <c r="Y141" i="1"/>
  <c r="W141" i="1"/>
  <c r="V141" i="1"/>
  <c r="U141" i="1"/>
  <c r="T141" i="1"/>
  <c r="S141" i="1"/>
  <c r="Q141" i="1"/>
  <c r="O139" i="1"/>
  <c r="O140" i="1" s="1"/>
  <c r="AA140" i="1" s="1"/>
  <c r="N139" i="1"/>
  <c r="N140" i="1" s="1"/>
  <c r="Z140" i="1" s="1"/>
  <c r="M139" i="1"/>
  <c r="M140" i="1" s="1"/>
  <c r="Y140" i="1" s="1"/>
  <c r="K140" i="1"/>
  <c r="W140" i="1" s="1"/>
  <c r="J140" i="1"/>
  <c r="I140" i="1"/>
  <c r="V140" i="1" s="1"/>
  <c r="U139" i="1"/>
  <c r="G140" i="1"/>
  <c r="T140" i="1" s="1"/>
  <c r="D139" i="1"/>
  <c r="C139" i="1"/>
  <c r="C140" i="1" s="1"/>
  <c r="B139" i="1"/>
  <c r="AA138" i="1"/>
  <c r="Z138" i="1"/>
  <c r="Y138" i="1"/>
  <c r="W138" i="1"/>
  <c r="V138" i="1"/>
  <c r="U138" i="1"/>
  <c r="T138" i="1"/>
  <c r="S138" i="1"/>
  <c r="Q138" i="1"/>
  <c r="P138" i="1"/>
  <c r="AA137" i="1"/>
  <c r="Z137" i="1"/>
  <c r="Y137" i="1"/>
  <c r="W137" i="1"/>
  <c r="V137" i="1"/>
  <c r="U137" i="1"/>
  <c r="T137" i="1"/>
  <c r="S137" i="1"/>
  <c r="Q137" i="1"/>
  <c r="P137" i="1"/>
  <c r="AA136" i="1"/>
  <c r="Z136" i="1"/>
  <c r="Y136" i="1"/>
  <c r="W136" i="1"/>
  <c r="V136" i="1"/>
  <c r="U136" i="1"/>
  <c r="T136" i="1"/>
  <c r="S136" i="1"/>
  <c r="Q136" i="1"/>
  <c r="P136" i="1"/>
  <c r="AA135" i="1"/>
  <c r="Z135" i="1"/>
  <c r="Y135" i="1"/>
  <c r="W135" i="1"/>
  <c r="V135" i="1"/>
  <c r="U135" i="1"/>
  <c r="T135" i="1"/>
  <c r="S135" i="1"/>
  <c r="Q135" i="1"/>
  <c r="P135" i="1"/>
  <c r="AA134" i="1"/>
  <c r="Z134" i="1"/>
  <c r="Y134" i="1"/>
  <c r="W134" i="1"/>
  <c r="V134" i="1"/>
  <c r="U134" i="1"/>
  <c r="T134" i="1"/>
  <c r="S134" i="1"/>
  <c r="Q134" i="1"/>
  <c r="P134" i="1"/>
  <c r="L134" i="1"/>
  <c r="X134" i="1" s="1"/>
  <c r="E134" i="1"/>
  <c r="R134" i="1" s="1"/>
  <c r="AA133" i="1"/>
  <c r="Z133" i="1"/>
  <c r="Y133" i="1"/>
  <c r="W133" i="1"/>
  <c r="V133" i="1"/>
  <c r="U133" i="1"/>
  <c r="T133" i="1"/>
  <c r="S133" i="1"/>
  <c r="Q133" i="1"/>
  <c r="P133" i="1"/>
  <c r="L133" i="1"/>
  <c r="X133" i="1" s="1"/>
  <c r="R133" i="1"/>
  <c r="AA132" i="1"/>
  <c r="Z132" i="1"/>
  <c r="W132" i="1"/>
  <c r="AC132" i="1" s="1"/>
  <c r="U132" i="1"/>
  <c r="T132" i="1"/>
  <c r="L132" i="1"/>
  <c r="L131" i="1" s="1"/>
  <c r="X131" i="1" s="1"/>
  <c r="E132" i="1"/>
  <c r="E131" i="1" s="1"/>
  <c r="R131" i="1" s="1"/>
  <c r="AA131" i="1"/>
  <c r="Z131" i="1"/>
  <c r="Y131" i="1"/>
  <c r="W131" i="1"/>
  <c r="AC131" i="1" s="1"/>
  <c r="V131" i="1"/>
  <c r="U131" i="1"/>
  <c r="T131" i="1"/>
  <c r="S131" i="1"/>
  <c r="P131" i="1"/>
  <c r="AA130" i="1"/>
  <c r="Z130" i="1"/>
  <c r="Y130" i="1"/>
  <c r="W130" i="1"/>
  <c r="AC130" i="1" s="1"/>
  <c r="V130" i="1"/>
  <c r="U130" i="1"/>
  <c r="T130" i="1"/>
  <c r="S130" i="1"/>
  <c r="P130" i="1"/>
  <c r="L130" i="1"/>
  <c r="X130" i="1" s="1"/>
  <c r="E130" i="1"/>
  <c r="E129" i="1" s="1"/>
  <c r="R129" i="1" s="1"/>
  <c r="AA129" i="1"/>
  <c r="Z129" i="1"/>
  <c r="Y129" i="1"/>
  <c r="W129" i="1"/>
  <c r="V129" i="1"/>
  <c r="U129" i="1"/>
  <c r="T129" i="1"/>
  <c r="S129" i="1"/>
  <c r="Q129" i="1"/>
  <c r="P129" i="1"/>
  <c r="AA128" i="1"/>
  <c r="Z128" i="1"/>
  <c r="Y128" i="1"/>
  <c r="W128" i="1"/>
  <c r="V128" i="1"/>
  <c r="U128" i="1"/>
  <c r="T128" i="1"/>
  <c r="S128" i="1"/>
  <c r="Q128" i="1"/>
  <c r="P128" i="1"/>
  <c r="L128" i="1"/>
  <c r="X128" i="1" s="1"/>
  <c r="E128" i="1"/>
  <c r="E127" i="1" s="1"/>
  <c r="R127" i="1" s="1"/>
  <c r="AA127" i="1"/>
  <c r="Z127" i="1"/>
  <c r="Y127" i="1"/>
  <c r="W127" i="1"/>
  <c r="V127" i="1"/>
  <c r="U127" i="1"/>
  <c r="T127" i="1"/>
  <c r="S127" i="1"/>
  <c r="Q127" i="1"/>
  <c r="P127" i="1"/>
  <c r="AA126" i="1"/>
  <c r="Z126" i="1"/>
  <c r="Y126" i="1"/>
  <c r="W126" i="1"/>
  <c r="V126" i="1"/>
  <c r="U126" i="1"/>
  <c r="T126" i="1"/>
  <c r="S126" i="1"/>
  <c r="Q126" i="1"/>
  <c r="P126" i="1"/>
  <c r="L126" i="1"/>
  <c r="X126" i="1" s="1"/>
  <c r="E126" i="1"/>
  <c r="R126" i="1" s="1"/>
  <c r="AA123" i="1"/>
  <c r="Z123" i="1"/>
  <c r="Y123" i="1"/>
  <c r="W123" i="1"/>
  <c r="V123" i="1"/>
  <c r="U123" i="1"/>
  <c r="T123" i="1"/>
  <c r="S123" i="1"/>
  <c r="Q123" i="1"/>
  <c r="P123" i="1"/>
  <c r="L123" i="1"/>
  <c r="X123" i="1" s="1"/>
  <c r="E123" i="1"/>
  <c r="R123" i="1" s="1"/>
  <c r="AA122" i="1"/>
  <c r="Z122" i="1"/>
  <c r="Y122" i="1"/>
  <c r="W122" i="1"/>
  <c r="V122" i="1"/>
  <c r="U122" i="1"/>
  <c r="T122" i="1"/>
  <c r="S122" i="1"/>
  <c r="Q122" i="1"/>
  <c r="P122" i="1"/>
  <c r="L122" i="1"/>
  <c r="X122" i="1" s="1"/>
  <c r="E122" i="1"/>
  <c r="R122" i="1" s="1"/>
  <c r="Z121" i="1"/>
  <c r="W121" i="1"/>
  <c r="V121" i="1"/>
  <c r="T121" i="1"/>
  <c r="Q121" i="1"/>
  <c r="P121" i="1"/>
  <c r="L121" i="1"/>
  <c r="L120" i="1" s="1"/>
  <c r="E121" i="1"/>
  <c r="E120" i="1" s="1"/>
  <c r="AA120" i="1"/>
  <c r="Z120" i="1"/>
  <c r="Y120" i="1"/>
  <c r="W120" i="1"/>
  <c r="V120" i="1"/>
  <c r="U120" i="1"/>
  <c r="T120" i="1"/>
  <c r="S120" i="1"/>
  <c r="Q120" i="1"/>
  <c r="P120" i="1"/>
  <c r="AA114" i="1"/>
  <c r="Z114" i="1"/>
  <c r="Y114" i="1"/>
  <c r="W114" i="1"/>
  <c r="V114" i="1"/>
  <c r="U114" i="1"/>
  <c r="T114" i="1"/>
  <c r="S114" i="1"/>
  <c r="Q114" i="1"/>
  <c r="P114" i="1"/>
  <c r="X114" i="1"/>
  <c r="R114" i="1"/>
  <c r="AA113" i="1"/>
  <c r="Z113" i="1"/>
  <c r="Y113" i="1"/>
  <c r="W113" i="1"/>
  <c r="V113" i="1"/>
  <c r="U113" i="1"/>
  <c r="T113" i="1"/>
  <c r="S113" i="1"/>
  <c r="Q113" i="1"/>
  <c r="P113" i="1"/>
  <c r="L113" i="1"/>
  <c r="X113" i="1" s="1"/>
  <c r="E113" i="1"/>
  <c r="R113" i="1" s="1"/>
  <c r="AA112" i="1"/>
  <c r="Z112" i="1"/>
  <c r="Y112" i="1"/>
  <c r="W112" i="1"/>
  <c r="V112" i="1"/>
  <c r="U112" i="1"/>
  <c r="T112" i="1"/>
  <c r="S112" i="1"/>
  <c r="Q112" i="1"/>
  <c r="L112" i="1"/>
  <c r="L111" i="1" s="1"/>
  <c r="X111" i="1" s="1"/>
  <c r="E112" i="1"/>
  <c r="E111" i="1" s="1"/>
  <c r="R111" i="1" s="1"/>
  <c r="AA111" i="1"/>
  <c r="Z111" i="1"/>
  <c r="Y111" i="1"/>
  <c r="W111" i="1"/>
  <c r="V111" i="1"/>
  <c r="U111" i="1"/>
  <c r="T111" i="1"/>
  <c r="S111" i="1"/>
  <c r="Q111" i="1"/>
  <c r="P111" i="1"/>
  <c r="AA110" i="1"/>
  <c r="Z110" i="1"/>
  <c r="W110" i="1"/>
  <c r="U110" i="1"/>
  <c r="T110" i="1"/>
  <c r="Q110" i="1"/>
  <c r="P110" i="1"/>
  <c r="L110" i="1"/>
  <c r="L109" i="1" s="1"/>
  <c r="X109" i="1" s="1"/>
  <c r="E110" i="1"/>
  <c r="E109" i="1" s="1"/>
  <c r="R109" i="1" s="1"/>
  <c r="AA109" i="1"/>
  <c r="Z109" i="1"/>
  <c r="Y109" i="1"/>
  <c r="W109" i="1"/>
  <c r="V109" i="1"/>
  <c r="U109" i="1"/>
  <c r="T109" i="1"/>
  <c r="S109" i="1"/>
  <c r="Q109" i="1"/>
  <c r="P109" i="1"/>
  <c r="AA95" i="1"/>
  <c r="Z95" i="1"/>
  <c r="W95" i="1"/>
  <c r="V95" i="1"/>
  <c r="U95" i="1"/>
  <c r="T95" i="1"/>
  <c r="Q95" i="1"/>
  <c r="P95" i="1"/>
  <c r="L95" i="1"/>
  <c r="L94" i="1" s="1"/>
  <c r="X94" i="1" s="1"/>
  <c r="E95" i="1"/>
  <c r="E94" i="1" s="1"/>
  <c r="R94" i="1" s="1"/>
  <c r="AA94" i="1"/>
  <c r="Z94" i="1"/>
  <c r="Y94" i="1"/>
  <c r="W94" i="1"/>
  <c r="V94" i="1"/>
  <c r="U94" i="1"/>
  <c r="T94" i="1"/>
  <c r="S94" i="1"/>
  <c r="Q94" i="1"/>
  <c r="P94" i="1"/>
  <c r="Z93" i="1"/>
  <c r="W93" i="1"/>
  <c r="T93" i="1"/>
  <c r="Q93" i="1"/>
  <c r="L93" i="1"/>
  <c r="L92" i="1" s="1"/>
  <c r="X92" i="1" s="1"/>
  <c r="E93" i="1"/>
  <c r="E92" i="1" s="1"/>
  <c r="R92" i="1" s="1"/>
  <c r="AA92" i="1"/>
  <c r="Z92" i="1"/>
  <c r="Y92" i="1"/>
  <c r="W92" i="1"/>
  <c r="V92" i="1"/>
  <c r="U92" i="1"/>
  <c r="T92" i="1"/>
  <c r="S92" i="1"/>
  <c r="Q92" i="1"/>
  <c r="P92" i="1"/>
  <c r="AA91" i="1"/>
  <c r="Z91" i="1"/>
  <c r="W91" i="1"/>
  <c r="U91" i="1"/>
  <c r="T91" i="1"/>
  <c r="Q91" i="1"/>
  <c r="L91" i="1"/>
  <c r="L90" i="1" s="1"/>
  <c r="X90" i="1" s="1"/>
  <c r="E91" i="1"/>
  <c r="E90" i="1" s="1"/>
  <c r="R90" i="1" s="1"/>
  <c r="AA90" i="1"/>
  <c r="Z90" i="1"/>
  <c r="Y90" i="1"/>
  <c r="W90" i="1"/>
  <c r="V90" i="1"/>
  <c r="U90" i="1"/>
  <c r="T90" i="1"/>
  <c r="S90" i="1"/>
  <c r="Q90" i="1"/>
  <c r="P90" i="1"/>
  <c r="AA89" i="1"/>
  <c r="Z89" i="1"/>
  <c r="W89" i="1"/>
  <c r="U89" i="1"/>
  <c r="T89" i="1"/>
  <c r="Q89" i="1"/>
  <c r="L89" i="1"/>
  <c r="L88" i="1" s="1"/>
  <c r="X88" i="1" s="1"/>
  <c r="E89" i="1"/>
  <c r="E88" i="1" s="1"/>
  <c r="R88" i="1" s="1"/>
  <c r="AA88" i="1"/>
  <c r="Z88" i="1"/>
  <c r="Y88" i="1"/>
  <c r="W88" i="1"/>
  <c r="V88" i="1"/>
  <c r="U88" i="1"/>
  <c r="T88" i="1"/>
  <c r="S88" i="1"/>
  <c r="Q88" i="1"/>
  <c r="P88" i="1"/>
  <c r="AA87" i="1"/>
  <c r="Z87" i="1"/>
  <c r="W87" i="1"/>
  <c r="U87" i="1"/>
  <c r="T87" i="1"/>
  <c r="Q87" i="1"/>
  <c r="L87" i="1"/>
  <c r="L86" i="1" s="1"/>
  <c r="X86" i="1" s="1"/>
  <c r="E87" i="1"/>
  <c r="E86" i="1" s="1"/>
  <c r="R86" i="1" s="1"/>
  <c r="AA86" i="1"/>
  <c r="Z86" i="1"/>
  <c r="Y86" i="1"/>
  <c r="W86" i="1"/>
  <c r="V86" i="1"/>
  <c r="U86" i="1"/>
  <c r="T86" i="1"/>
  <c r="S86" i="1"/>
  <c r="Q86" i="1"/>
  <c r="P86" i="1"/>
  <c r="AA85" i="1"/>
  <c r="Z85" i="1"/>
  <c r="W85" i="1"/>
  <c r="U85" i="1"/>
  <c r="T85" i="1"/>
  <c r="Q85" i="1"/>
  <c r="L85" i="1"/>
  <c r="L84" i="1" s="1"/>
  <c r="X84" i="1" s="1"/>
  <c r="E85" i="1"/>
  <c r="E84" i="1" s="1"/>
  <c r="R84" i="1" s="1"/>
  <c r="AA84" i="1"/>
  <c r="Z84" i="1"/>
  <c r="Y84" i="1"/>
  <c r="W84" i="1"/>
  <c r="V84" i="1"/>
  <c r="U84" i="1"/>
  <c r="T84" i="1"/>
  <c r="S84" i="1"/>
  <c r="Q84" i="1"/>
  <c r="P84" i="1"/>
  <c r="AA83" i="1"/>
  <c r="Z83" i="1"/>
  <c r="W83" i="1"/>
  <c r="V83" i="1"/>
  <c r="U83" i="1"/>
  <c r="T83" i="1"/>
  <c r="Q83" i="1"/>
  <c r="P83" i="1"/>
  <c r="L83" i="1"/>
  <c r="L82" i="1" s="1"/>
  <c r="X82" i="1" s="1"/>
  <c r="E83" i="1"/>
  <c r="E82" i="1" s="1"/>
  <c r="R82" i="1" s="1"/>
  <c r="AA82" i="1"/>
  <c r="Z82" i="1"/>
  <c r="Y82" i="1"/>
  <c r="W82" i="1"/>
  <c r="V82" i="1"/>
  <c r="U82" i="1"/>
  <c r="T82" i="1"/>
  <c r="S82" i="1"/>
  <c r="Q82" i="1"/>
  <c r="P82" i="1"/>
  <c r="AA81" i="1"/>
  <c r="Z81" i="1"/>
  <c r="W81" i="1"/>
  <c r="V81" i="1"/>
  <c r="U81" i="1"/>
  <c r="T81" i="1"/>
  <c r="S81" i="1"/>
  <c r="Q81" i="1"/>
  <c r="P81" i="1"/>
  <c r="L81" i="1"/>
  <c r="L80" i="1" s="1"/>
  <c r="E81" i="1"/>
  <c r="E80" i="1" s="1"/>
  <c r="AA80" i="1"/>
  <c r="Z80" i="1"/>
  <c r="Y80" i="1"/>
  <c r="W80" i="1"/>
  <c r="V80" i="1"/>
  <c r="U80" i="1"/>
  <c r="T80" i="1"/>
  <c r="S80" i="1"/>
  <c r="Q80" i="1"/>
  <c r="P80" i="1"/>
  <c r="Z78" i="1"/>
  <c r="W78" i="1"/>
  <c r="T78" i="1"/>
  <c r="Q78" i="1"/>
  <c r="L78" i="1"/>
  <c r="L77" i="1" s="1"/>
  <c r="X77" i="1" s="1"/>
  <c r="E78" i="1"/>
  <c r="E77" i="1" s="1"/>
  <c r="R77" i="1" s="1"/>
  <c r="AA77" i="1"/>
  <c r="Z77" i="1"/>
  <c r="Y77" i="1"/>
  <c r="W77" i="1"/>
  <c r="V77" i="1"/>
  <c r="U77" i="1"/>
  <c r="T77" i="1"/>
  <c r="S77" i="1"/>
  <c r="Q77" i="1"/>
  <c r="P77" i="1"/>
  <c r="AA76" i="1"/>
  <c r="Z76" i="1"/>
  <c r="W76" i="1"/>
  <c r="V76" i="1"/>
  <c r="U76" i="1"/>
  <c r="T76" i="1"/>
  <c r="Q76" i="1"/>
  <c r="P76" i="1"/>
  <c r="L76" i="1"/>
  <c r="L75" i="1" s="1"/>
  <c r="X75" i="1" s="1"/>
  <c r="E76" i="1"/>
  <c r="E75" i="1" s="1"/>
  <c r="R75" i="1" s="1"/>
  <c r="AA75" i="1"/>
  <c r="Z75" i="1"/>
  <c r="Y75" i="1"/>
  <c r="W75" i="1"/>
  <c r="V75" i="1"/>
  <c r="U75" i="1"/>
  <c r="T75" i="1"/>
  <c r="S75" i="1"/>
  <c r="Q75" i="1"/>
  <c r="P75" i="1"/>
  <c r="AA74" i="1"/>
  <c r="Z74" i="1"/>
  <c r="W74" i="1"/>
  <c r="U74" i="1"/>
  <c r="T74" i="1"/>
  <c r="Q74" i="1"/>
  <c r="L74" i="1"/>
  <c r="L73" i="1" s="1"/>
  <c r="X73" i="1" s="1"/>
  <c r="E74" i="1"/>
  <c r="E73" i="1" s="1"/>
  <c r="R73" i="1" s="1"/>
  <c r="AA73" i="1"/>
  <c r="Z73" i="1"/>
  <c r="Y73" i="1"/>
  <c r="W73" i="1"/>
  <c r="V73" i="1"/>
  <c r="U73" i="1"/>
  <c r="T73" i="1"/>
  <c r="S73" i="1"/>
  <c r="Q73" i="1"/>
  <c r="P73" i="1"/>
  <c r="Z72" i="1"/>
  <c r="W72" i="1"/>
  <c r="U72" i="1"/>
  <c r="AG72" i="1" s="1"/>
  <c r="T72" i="1"/>
  <c r="Q72" i="1"/>
  <c r="L72" i="1"/>
  <c r="L71" i="1" s="1"/>
  <c r="X71" i="1" s="1"/>
  <c r="E72" i="1"/>
  <c r="E71" i="1" s="1"/>
  <c r="R71" i="1" s="1"/>
  <c r="AA71" i="1"/>
  <c r="Z71" i="1"/>
  <c r="Y71" i="1"/>
  <c r="W71" i="1"/>
  <c r="V71" i="1"/>
  <c r="U71" i="1"/>
  <c r="T71" i="1"/>
  <c r="S71" i="1"/>
  <c r="Q71" i="1"/>
  <c r="P71" i="1"/>
  <c r="AA70" i="1"/>
  <c r="Z70" i="1"/>
  <c r="W70" i="1"/>
  <c r="U70" i="1"/>
  <c r="T70" i="1"/>
  <c r="Q70" i="1"/>
  <c r="L70" i="1"/>
  <c r="L69" i="1" s="1"/>
  <c r="X69" i="1" s="1"/>
  <c r="E70" i="1"/>
  <c r="E69" i="1" s="1"/>
  <c r="R69" i="1" s="1"/>
  <c r="AA69" i="1"/>
  <c r="Z69" i="1"/>
  <c r="Y69" i="1"/>
  <c r="W69" i="1"/>
  <c r="V69" i="1"/>
  <c r="U69" i="1"/>
  <c r="T69" i="1"/>
  <c r="S69" i="1"/>
  <c r="Q69" i="1"/>
  <c r="P69" i="1"/>
  <c r="AA68" i="1"/>
  <c r="Z68" i="1"/>
  <c r="W68" i="1"/>
  <c r="U68" i="1"/>
  <c r="T68" i="1"/>
  <c r="Q68" i="1"/>
  <c r="L68" i="1"/>
  <c r="L67" i="1" s="1"/>
  <c r="X67" i="1" s="1"/>
  <c r="E68" i="1"/>
  <c r="E67" i="1" s="1"/>
  <c r="R67" i="1" s="1"/>
  <c r="AA67" i="1"/>
  <c r="Z67" i="1"/>
  <c r="Y67" i="1"/>
  <c r="W67" i="1"/>
  <c r="V67" i="1"/>
  <c r="U67" i="1"/>
  <c r="T67" i="1"/>
  <c r="S67" i="1"/>
  <c r="Q67" i="1"/>
  <c r="P67" i="1"/>
  <c r="AA66" i="1"/>
  <c r="Z66" i="1"/>
  <c r="W66" i="1"/>
  <c r="U66" i="1"/>
  <c r="T66" i="1"/>
  <c r="Q66" i="1"/>
  <c r="L66" i="1"/>
  <c r="E66" i="1"/>
  <c r="AA65" i="1"/>
  <c r="Z65" i="1"/>
  <c r="Y65" i="1"/>
  <c r="W65" i="1"/>
  <c r="V65" i="1"/>
  <c r="U65" i="1"/>
  <c r="T65" i="1"/>
  <c r="S65" i="1"/>
  <c r="Q65" i="1"/>
  <c r="P65" i="1"/>
  <c r="L65" i="1"/>
  <c r="X65" i="1" s="1"/>
  <c r="E65" i="1"/>
  <c r="R65" i="1" s="1"/>
  <c r="AA64" i="1"/>
  <c r="Z64" i="1"/>
  <c r="Y64" i="1"/>
  <c r="W64" i="1"/>
  <c r="V64" i="1"/>
  <c r="U64" i="1"/>
  <c r="T64" i="1"/>
  <c r="S64" i="1"/>
  <c r="Q64" i="1"/>
  <c r="P64" i="1"/>
  <c r="X64" i="1"/>
  <c r="R64" i="1"/>
  <c r="AA63" i="1"/>
  <c r="Z63" i="1"/>
  <c r="W63" i="1"/>
  <c r="V63" i="1"/>
  <c r="U63" i="1"/>
  <c r="T63" i="1"/>
  <c r="Q63" i="1"/>
  <c r="P63" i="1"/>
  <c r="L63" i="1"/>
  <c r="L62" i="1" s="1"/>
  <c r="X62" i="1" s="1"/>
  <c r="E63" i="1"/>
  <c r="E62" i="1" s="1"/>
  <c r="R62" i="1" s="1"/>
  <c r="AA62" i="1"/>
  <c r="Z62" i="1"/>
  <c r="Y62" i="1"/>
  <c r="W62" i="1"/>
  <c r="V62" i="1"/>
  <c r="U62" i="1"/>
  <c r="T62" i="1"/>
  <c r="S62" i="1"/>
  <c r="Q62" i="1"/>
  <c r="P62" i="1"/>
  <c r="AA61" i="1"/>
  <c r="Z61" i="1"/>
  <c r="Y61" i="1"/>
  <c r="W61" i="1"/>
  <c r="U61" i="1"/>
  <c r="T61" i="1"/>
  <c r="Q61" i="1"/>
  <c r="L61" i="1"/>
  <c r="L60" i="1" s="1"/>
  <c r="X60" i="1" s="1"/>
  <c r="E61" i="1"/>
  <c r="E60" i="1" s="1"/>
  <c r="R60" i="1" s="1"/>
  <c r="AA60" i="1"/>
  <c r="Z60" i="1"/>
  <c r="Y60" i="1"/>
  <c r="W60" i="1"/>
  <c r="V60" i="1"/>
  <c r="U60" i="1"/>
  <c r="T60" i="1"/>
  <c r="S60" i="1"/>
  <c r="Q60" i="1"/>
  <c r="P60" i="1"/>
  <c r="AA59" i="1"/>
  <c r="Z59" i="1"/>
  <c r="W59" i="1"/>
  <c r="V59" i="1"/>
  <c r="U59" i="1"/>
  <c r="T59" i="1"/>
  <c r="Q59" i="1"/>
  <c r="P59" i="1"/>
  <c r="L59" i="1"/>
  <c r="L58" i="1" s="1"/>
  <c r="X58" i="1" s="1"/>
  <c r="E59" i="1"/>
  <c r="E58" i="1" s="1"/>
  <c r="R58" i="1" s="1"/>
  <c r="AA58" i="1"/>
  <c r="Z58" i="1"/>
  <c r="Y58" i="1"/>
  <c r="W58" i="1"/>
  <c r="V58" i="1"/>
  <c r="U58" i="1"/>
  <c r="T58" i="1"/>
  <c r="S58" i="1"/>
  <c r="Q58" i="1"/>
  <c r="P58" i="1"/>
  <c r="AA57" i="1"/>
  <c r="Z57" i="1"/>
  <c r="W57" i="1"/>
  <c r="U57" i="1"/>
  <c r="T57" i="1"/>
  <c r="S57" i="1"/>
  <c r="Q57" i="1"/>
  <c r="P57" i="1"/>
  <c r="AB57" i="1" s="1"/>
  <c r="L57" i="1"/>
  <c r="E57" i="1"/>
  <c r="AA56" i="1"/>
  <c r="Z56" i="1"/>
  <c r="Y56" i="1"/>
  <c r="W56" i="1"/>
  <c r="V56" i="1"/>
  <c r="U56" i="1"/>
  <c r="T56" i="1"/>
  <c r="S56" i="1"/>
  <c r="Q56" i="1"/>
  <c r="P56" i="1"/>
  <c r="AA55" i="1"/>
  <c r="Z55" i="1"/>
  <c r="Y55" i="1"/>
  <c r="W55" i="1"/>
  <c r="V55" i="1"/>
  <c r="U55" i="1"/>
  <c r="T55" i="1"/>
  <c r="S55" i="1"/>
  <c r="Q55" i="1"/>
  <c r="P55" i="1"/>
  <c r="O40" i="1"/>
  <c r="N40" i="1"/>
  <c r="M40" i="1"/>
  <c r="K40" i="1"/>
  <c r="J40" i="1"/>
  <c r="I40" i="1"/>
  <c r="H40" i="1"/>
  <c r="G40" i="1"/>
  <c r="F40" i="1"/>
  <c r="D40" i="1"/>
  <c r="C40" i="1"/>
  <c r="O39" i="1"/>
  <c r="N39" i="1"/>
  <c r="M39" i="1"/>
  <c r="K39" i="1"/>
  <c r="J39" i="1"/>
  <c r="I39" i="1"/>
  <c r="H39" i="1"/>
  <c r="G39" i="1"/>
  <c r="F39" i="1"/>
  <c r="D39" i="1"/>
  <c r="C39" i="1"/>
  <c r="O38" i="1"/>
  <c r="N38" i="1"/>
  <c r="M38" i="1"/>
  <c r="K38" i="1"/>
  <c r="K144" i="1" s="1"/>
  <c r="K145" i="1" s="1"/>
  <c r="J38" i="1"/>
  <c r="I38" i="1"/>
  <c r="I144" i="1" s="1"/>
  <c r="I145" i="1" s="1"/>
  <c r="H38" i="1"/>
  <c r="G38" i="1"/>
  <c r="F38" i="1"/>
  <c r="D38" i="1"/>
  <c r="C38" i="1"/>
  <c r="C41" i="1" s="1"/>
  <c r="AA37" i="1"/>
  <c r="Z37" i="1"/>
  <c r="Y37" i="1"/>
  <c r="W37" i="1"/>
  <c r="V37" i="1"/>
  <c r="U37" i="1"/>
  <c r="T37" i="1"/>
  <c r="S37" i="1"/>
  <c r="Q37" i="1"/>
  <c r="P37" i="1"/>
  <c r="L37" i="1"/>
  <c r="X37" i="1" s="1"/>
  <c r="E37" i="1"/>
  <c r="R37" i="1" s="1"/>
  <c r="AA36" i="1"/>
  <c r="Z36" i="1"/>
  <c r="Y36" i="1"/>
  <c r="W36" i="1"/>
  <c r="V36" i="1"/>
  <c r="U36" i="1"/>
  <c r="T36" i="1"/>
  <c r="S36" i="1"/>
  <c r="Q36" i="1"/>
  <c r="P36" i="1"/>
  <c r="L36" i="1"/>
  <c r="X36" i="1" s="1"/>
  <c r="E36" i="1"/>
  <c r="R36" i="1" s="1"/>
  <c r="AA35" i="1"/>
  <c r="Z35" i="1"/>
  <c r="Y35" i="1"/>
  <c r="X35" i="1"/>
  <c r="W35" i="1"/>
  <c r="V35" i="1"/>
  <c r="U35" i="1"/>
  <c r="T35" i="1"/>
  <c r="S35" i="1"/>
  <c r="R35" i="1"/>
  <c r="Q35" i="1"/>
  <c r="P35" i="1"/>
  <c r="AA34" i="1"/>
  <c r="Z34" i="1"/>
  <c r="Y34" i="1"/>
  <c r="W34" i="1"/>
  <c r="V34" i="1"/>
  <c r="U34" i="1"/>
  <c r="T34" i="1"/>
  <c r="S34" i="1"/>
  <c r="AE34" i="1" s="1"/>
  <c r="Q34" i="1"/>
  <c r="P34" i="1"/>
  <c r="L34" i="1"/>
  <c r="X34" i="1" s="1"/>
  <c r="E34" i="1"/>
  <c r="R34" i="1" s="1"/>
  <c r="AD34" i="1" s="1"/>
  <c r="AA33" i="1"/>
  <c r="Z33" i="1"/>
  <c r="Y33" i="1"/>
  <c r="W33" i="1"/>
  <c r="V33" i="1"/>
  <c r="U33" i="1"/>
  <c r="T33" i="1"/>
  <c r="S33" i="1"/>
  <c r="Q33" i="1"/>
  <c r="P33" i="1"/>
  <c r="X33" i="1"/>
  <c r="E33" i="1"/>
  <c r="R33" i="1" s="1"/>
  <c r="AD33" i="1" s="1"/>
  <c r="AA32" i="1"/>
  <c r="Z32" i="1"/>
  <c r="AF32" i="1" s="1"/>
  <c r="Y32" i="1"/>
  <c r="W32" i="1"/>
  <c r="V32" i="1"/>
  <c r="U32" i="1"/>
  <c r="T32" i="1"/>
  <c r="S32" i="1"/>
  <c r="Q32" i="1"/>
  <c r="P32" i="1"/>
  <c r="L32" i="1"/>
  <c r="X32" i="1" s="1"/>
  <c r="E32" i="1"/>
  <c r="R32" i="1" s="1"/>
  <c r="AA31" i="1"/>
  <c r="AA42" i="1" s="1"/>
  <c r="Z31" i="1"/>
  <c r="Z42" i="1" s="1"/>
  <c r="Y31" i="1"/>
  <c r="Y42" i="1" s="1"/>
  <c r="W31" i="1"/>
  <c r="V31" i="1"/>
  <c r="U31" i="1"/>
  <c r="T31" i="1"/>
  <c r="S31" i="1"/>
  <c r="Q31" i="1"/>
  <c r="P31" i="1"/>
  <c r="S36" i="12"/>
  <c r="S37" i="12" s="1"/>
  <c r="E31" i="1"/>
  <c r="AA30" i="1"/>
  <c r="Z30" i="1"/>
  <c r="Y30" i="1"/>
  <c r="X30" i="1"/>
  <c r="W30" i="1"/>
  <c r="V30" i="1"/>
  <c r="U30" i="1"/>
  <c r="T30" i="1"/>
  <c r="S30" i="1"/>
  <c r="R30" i="1"/>
  <c r="Q30" i="1"/>
  <c r="P30" i="1"/>
  <c r="AA29" i="1"/>
  <c r="Z29" i="1"/>
  <c r="Y29" i="1"/>
  <c r="W29" i="1"/>
  <c r="V29" i="1"/>
  <c r="U29" i="1"/>
  <c r="T29" i="1"/>
  <c r="S29" i="1"/>
  <c r="Q29" i="1"/>
  <c r="P29" i="1"/>
  <c r="AA28" i="1"/>
  <c r="Z28" i="1"/>
  <c r="Y28" i="1"/>
  <c r="W28" i="1"/>
  <c r="V28" i="1"/>
  <c r="U28" i="1"/>
  <c r="T28" i="1"/>
  <c r="S28" i="1"/>
  <c r="Q28" i="1"/>
  <c r="P28" i="1"/>
  <c r="E28" i="1"/>
  <c r="AA27" i="1"/>
  <c r="Z27" i="1"/>
  <c r="AF27" i="1" s="1"/>
  <c r="Y27" i="1"/>
  <c r="W27" i="1"/>
  <c r="V27" i="1"/>
  <c r="U27" i="1"/>
  <c r="S27" i="1"/>
  <c r="R27" i="1"/>
  <c r="P27" i="1"/>
  <c r="AA26" i="1"/>
  <c r="Z26" i="1"/>
  <c r="Y26" i="1"/>
  <c r="W26" i="1"/>
  <c r="V26" i="1"/>
  <c r="U26" i="1"/>
  <c r="T26" i="1"/>
  <c r="S26" i="1"/>
  <c r="Q26" i="1"/>
  <c r="P26" i="1"/>
  <c r="AA25" i="1"/>
  <c r="Z25" i="1"/>
  <c r="Y25" i="1"/>
  <c r="W25" i="1"/>
  <c r="V25" i="1"/>
  <c r="U25" i="1"/>
  <c r="T25" i="1"/>
  <c r="S25" i="1"/>
  <c r="Q25" i="1"/>
  <c r="P25" i="1"/>
  <c r="AA24" i="1"/>
  <c r="Z24" i="1"/>
  <c r="Y24" i="1"/>
  <c r="W24" i="1"/>
  <c r="V24" i="1"/>
  <c r="U24" i="1"/>
  <c r="T24" i="1"/>
  <c r="S24" i="1"/>
  <c r="Q24" i="1"/>
  <c r="P24" i="1"/>
  <c r="AA23" i="1"/>
  <c r="Z23" i="1"/>
  <c r="Y23" i="1"/>
  <c r="W23" i="1"/>
  <c r="V23" i="1"/>
  <c r="U23" i="1"/>
  <c r="T23" i="1"/>
  <c r="S23" i="1"/>
  <c r="Q23" i="1"/>
  <c r="P23" i="1"/>
  <c r="AA22" i="1"/>
  <c r="Z22" i="1"/>
  <c r="Y22" i="1"/>
  <c r="W22" i="1"/>
  <c r="V22" i="1"/>
  <c r="U22" i="1"/>
  <c r="T22" i="1"/>
  <c r="S22" i="1"/>
  <c r="Q22" i="1"/>
  <c r="P22" i="1"/>
  <c r="AA21" i="1"/>
  <c r="Z21" i="1"/>
  <c r="Y21" i="1"/>
  <c r="W21" i="1"/>
  <c r="V21" i="1"/>
  <c r="U21" i="1"/>
  <c r="T21" i="1"/>
  <c r="S21" i="1"/>
  <c r="R21" i="1"/>
  <c r="Q21" i="1"/>
  <c r="P21" i="1"/>
  <c r="AA20" i="1"/>
  <c r="Z20" i="1"/>
  <c r="Y20" i="1"/>
  <c r="W20" i="1"/>
  <c r="V20" i="1"/>
  <c r="U20" i="1"/>
  <c r="T20" i="1"/>
  <c r="S20" i="1"/>
  <c r="Q20" i="1"/>
  <c r="P20" i="1"/>
  <c r="AA19" i="1"/>
  <c r="Z19" i="1"/>
  <c r="Y19" i="1"/>
  <c r="W19" i="1"/>
  <c r="V19" i="1"/>
  <c r="U19" i="1"/>
  <c r="T19" i="1"/>
  <c r="S19" i="1"/>
  <c r="Q19" i="1"/>
  <c r="P19" i="1"/>
  <c r="AA18" i="1"/>
  <c r="Z18" i="1"/>
  <c r="Y18" i="1"/>
  <c r="W18" i="1"/>
  <c r="V18" i="1"/>
  <c r="U18" i="1"/>
  <c r="T18" i="1"/>
  <c r="S18" i="1"/>
  <c r="Q18" i="1"/>
  <c r="P18" i="1"/>
  <c r="AA17" i="1"/>
  <c r="Z17" i="1"/>
  <c r="Y17" i="1"/>
  <c r="W17" i="1"/>
  <c r="V17" i="1"/>
  <c r="U17" i="1"/>
  <c r="T17" i="1"/>
  <c r="S17" i="1"/>
  <c r="Q17" i="1"/>
  <c r="P17" i="1"/>
  <c r="AA16" i="1"/>
  <c r="Z16" i="1"/>
  <c r="Y16" i="1"/>
  <c r="W16" i="1"/>
  <c r="V16" i="1"/>
  <c r="U16" i="1"/>
  <c r="T16" i="1"/>
  <c r="S16" i="1"/>
  <c r="Q16" i="1"/>
  <c r="P16" i="1"/>
  <c r="AA15" i="1"/>
  <c r="Z15" i="1"/>
  <c r="Y15" i="1"/>
  <c r="W15" i="1"/>
  <c r="V15" i="1"/>
  <c r="U15" i="1"/>
  <c r="T15" i="1"/>
  <c r="S15" i="1"/>
  <c r="Q15" i="1"/>
  <c r="P15" i="1"/>
  <c r="AA14" i="1"/>
  <c r="Z14" i="1"/>
  <c r="Y14" i="1"/>
  <c r="W14" i="1"/>
  <c r="V14" i="1"/>
  <c r="U14" i="1"/>
  <c r="T14" i="1"/>
  <c r="S14" i="1"/>
  <c r="Q14" i="1"/>
  <c r="P14" i="1"/>
  <c r="AA13" i="1"/>
  <c r="Z13" i="1"/>
  <c r="Y13" i="1"/>
  <c r="W13" i="1"/>
  <c r="V13" i="1"/>
  <c r="U13" i="1"/>
  <c r="T13" i="1"/>
  <c r="S13" i="1"/>
  <c r="Q13" i="1"/>
  <c r="P13" i="1"/>
  <c r="AA12" i="1"/>
  <c r="Z12" i="1"/>
  <c r="Y12" i="1"/>
  <c r="X12" i="1"/>
  <c r="W12" i="1"/>
  <c r="V12" i="1"/>
  <c r="U12" i="1"/>
  <c r="T12" i="1"/>
  <c r="S12" i="1"/>
  <c r="Q12" i="1"/>
  <c r="P12" i="1"/>
  <c r="AA11" i="1"/>
  <c r="Z11" i="1"/>
  <c r="Y11" i="1"/>
  <c r="W11" i="1"/>
  <c r="V11" i="1"/>
  <c r="U11" i="1"/>
  <c r="T11" i="1"/>
  <c r="S11" i="1"/>
  <c r="Q11" i="1"/>
  <c r="P11" i="1"/>
  <c r="AA10" i="1"/>
  <c r="Z10" i="1"/>
  <c r="Y10" i="1"/>
  <c r="W10" i="1"/>
  <c r="V10" i="1"/>
  <c r="U10" i="1"/>
  <c r="T10" i="1"/>
  <c r="S10" i="1"/>
  <c r="Q10" i="1"/>
  <c r="P10" i="1"/>
  <c r="O9" i="1"/>
  <c r="N9" i="1"/>
  <c r="M9" i="1"/>
  <c r="D9" i="1"/>
  <c r="C9" i="1"/>
  <c r="AD30" i="1" l="1"/>
  <c r="AG32" i="1"/>
  <c r="X9" i="1"/>
  <c r="AE30" i="1"/>
  <c r="AD32" i="1"/>
  <c r="AC14" i="1"/>
  <c r="AF15" i="1"/>
  <c r="AC16" i="1"/>
  <c r="AC18" i="1"/>
  <c r="AC20" i="1"/>
  <c r="AE21" i="1"/>
  <c r="AB22" i="1"/>
  <c r="AG22" i="1"/>
  <c r="AE23" i="1"/>
  <c r="AG24" i="1"/>
  <c r="AE25" i="1"/>
  <c r="AB26" i="1"/>
  <c r="AG26" i="1"/>
  <c r="AE29" i="1"/>
  <c r="AB15" i="1"/>
  <c r="AG15" i="1"/>
  <c r="AE16" i="1"/>
  <c r="AB17" i="1"/>
  <c r="AE18" i="1"/>
  <c r="AE20" i="1"/>
  <c r="AF21" i="1"/>
  <c r="AC22" i="1"/>
  <c r="AF23" i="1"/>
  <c r="AF25" i="1"/>
  <c r="AF29" i="1"/>
  <c r="AD69" i="1"/>
  <c r="AD75" i="1"/>
  <c r="AE80" i="1"/>
  <c r="AB16" i="1"/>
  <c r="AB20" i="1"/>
  <c r="AC29" i="1"/>
  <c r="AD73" i="1"/>
  <c r="AG80" i="1"/>
  <c r="AD77" i="1"/>
  <c r="AD67" i="1"/>
  <c r="AD71" i="1"/>
  <c r="AF80" i="1"/>
  <c r="AD22" i="1"/>
  <c r="AB21" i="1"/>
  <c r="AC15" i="1"/>
  <c r="AC17" i="1"/>
  <c r="AF20" i="1"/>
  <c r="AE22" i="1"/>
  <c r="AB23" i="1"/>
  <c r="AG23" i="1"/>
  <c r="AB25" i="1"/>
  <c r="AG25" i="1"/>
  <c r="AG29" i="1"/>
  <c r="AB30" i="1"/>
  <c r="AF30" i="1"/>
  <c r="AC30" i="1"/>
  <c r="E42" i="1"/>
  <c r="AB29" i="1"/>
  <c r="AE26" i="1"/>
  <c r="AD26" i="1"/>
  <c r="AC25" i="1"/>
  <c r="AD24" i="1"/>
  <c r="AD23" i="1"/>
  <c r="AF22" i="1"/>
  <c r="AC21" i="1"/>
  <c r="AG20" i="1"/>
  <c r="AF18" i="1"/>
  <c r="AG18" i="1"/>
  <c r="AB18" i="1"/>
  <c r="AG16" i="1"/>
  <c r="AE15" i="1"/>
  <c r="L191" i="6"/>
  <c r="I191" i="6"/>
  <c r="L198" i="6"/>
  <c r="I198" i="6"/>
  <c r="K190" i="6"/>
  <c r="H190" i="6"/>
  <c r="K192" i="6"/>
  <c r="H192" i="6"/>
  <c r="I190" i="6"/>
  <c r="L190" i="6"/>
  <c r="L192" i="6"/>
  <c r="I192" i="6"/>
  <c r="L197" i="6"/>
  <c r="I197" i="6"/>
  <c r="I199" i="6"/>
  <c r="K191" i="6"/>
  <c r="H191" i="6"/>
  <c r="AF31" i="1"/>
  <c r="AF33" i="1"/>
  <c r="AF34" i="1"/>
  <c r="AF37" i="1"/>
  <c r="AE14" i="1"/>
  <c r="AE31" i="1"/>
  <c r="AB12" i="1"/>
  <c r="AG27" i="1"/>
  <c r="AB31" i="1"/>
  <c r="AB32" i="1"/>
  <c r="AB33" i="1"/>
  <c r="AB34" i="1"/>
  <c r="AC12" i="1"/>
  <c r="AB14" i="1"/>
  <c r="AG14" i="1"/>
  <c r="AC31" i="1"/>
  <c r="AC32" i="1"/>
  <c r="AC34" i="1"/>
  <c r="AF14" i="1"/>
  <c r="AG31" i="1"/>
  <c r="AG33" i="1"/>
  <c r="AG34" i="1"/>
  <c r="AG36" i="1"/>
  <c r="AG37" i="1"/>
  <c r="CL35" i="3"/>
  <c r="CL36" i="3" s="1"/>
  <c r="CA35" i="3"/>
  <c r="CA36" i="3" s="1"/>
  <c r="W144" i="1"/>
  <c r="CG35" i="3"/>
  <c r="CG36" i="3" s="1"/>
  <c r="K161" i="1"/>
  <c r="Y161" i="1" s="1"/>
  <c r="N144" i="1"/>
  <c r="P139" i="1"/>
  <c r="B144" i="1"/>
  <c r="P144" i="1" s="1"/>
  <c r="I161" i="1"/>
  <c r="W161" i="1" s="1"/>
  <c r="Q139" i="1"/>
  <c r="D144" i="1"/>
  <c r="AB27" i="1"/>
  <c r="F41" i="1"/>
  <c r="F144" i="1"/>
  <c r="J41" i="1"/>
  <c r="J144" i="1"/>
  <c r="J161" i="1" s="1"/>
  <c r="X161" i="1" s="1"/>
  <c r="O41" i="1"/>
  <c r="O144" i="1"/>
  <c r="G41" i="1"/>
  <c r="G144" i="1"/>
  <c r="V144" i="1"/>
  <c r="AD27" i="1"/>
  <c r="AE27" i="1"/>
  <c r="H41" i="1"/>
  <c r="H144" i="1"/>
  <c r="M41" i="1"/>
  <c r="M144" i="1"/>
  <c r="K41" i="1"/>
  <c r="K160" i="1"/>
  <c r="W160" i="1" s="1"/>
  <c r="D41" i="1"/>
  <c r="D46" i="1"/>
  <c r="I41" i="1"/>
  <c r="I160" i="1"/>
  <c r="V160" i="1" s="1"/>
  <c r="R159" i="1"/>
  <c r="P159" i="1"/>
  <c r="R153" i="1"/>
  <c r="AF66" i="1"/>
  <c r="AG66" i="1"/>
  <c r="AD64" i="1"/>
  <c r="AG67" i="1"/>
  <c r="X120" i="1"/>
  <c r="X119" i="1"/>
  <c r="R120" i="1"/>
  <c r="R119" i="1"/>
  <c r="AG68" i="1"/>
  <c r="AF72" i="1"/>
  <c r="AG75" i="1"/>
  <c r="X80" i="1"/>
  <c r="X79" i="1"/>
  <c r="R80" i="1"/>
  <c r="R79" i="1"/>
  <c r="AH19" i="1"/>
  <c r="AG74" i="1"/>
  <c r="AE73" i="1"/>
  <c r="AG70" i="1"/>
  <c r="AF180" i="1"/>
  <c r="AG64" i="1"/>
  <c r="AG73" i="1"/>
  <c r="AE75" i="1"/>
  <c r="AE77" i="1"/>
  <c r="AF69" i="1"/>
  <c r="AF70" i="1"/>
  <c r="AF73" i="1"/>
  <c r="AF74" i="1"/>
  <c r="AF76" i="1"/>
  <c r="AG76" i="1"/>
  <c r="AF78" i="1"/>
  <c r="AF67" i="1"/>
  <c r="AF68" i="1"/>
  <c r="AE71" i="1"/>
  <c r="AF75" i="1"/>
  <c r="AG69" i="1"/>
  <c r="AF77" i="1"/>
  <c r="L129" i="1"/>
  <c r="X129" i="1" s="1"/>
  <c r="AD129" i="1" s="1"/>
  <c r="DZ35" i="3"/>
  <c r="DZ36" i="3" s="1"/>
  <c r="R48" i="1"/>
  <c r="AH35" i="3" s="1"/>
  <c r="AH36" i="3" s="1"/>
  <c r="W42" i="1"/>
  <c r="W43" i="1" s="1"/>
  <c r="X48" i="1"/>
  <c r="AJ35" i="3" s="1"/>
  <c r="AJ36" i="3" s="1"/>
  <c r="V42" i="1"/>
  <c r="V43" i="1" s="1"/>
  <c r="S42" i="1"/>
  <c r="S43" i="1" s="1"/>
  <c r="L42" i="1"/>
  <c r="T42" i="1"/>
  <c r="T43" i="1" s="1"/>
  <c r="Y43" i="1"/>
  <c r="U42" i="1"/>
  <c r="U43" i="1" s="1"/>
  <c r="Z43" i="1"/>
  <c r="Z38" i="1"/>
  <c r="N41" i="1"/>
  <c r="P38" i="1"/>
  <c r="P41" i="1"/>
  <c r="Q42" i="1"/>
  <c r="Q43" i="1" s="1"/>
  <c r="AA43" i="1"/>
  <c r="Y38" i="1"/>
  <c r="R151" i="1"/>
  <c r="E162" i="1"/>
  <c r="S162" i="1" s="1"/>
  <c r="X151" i="1"/>
  <c r="L162" i="1"/>
  <c r="Z162" i="1" s="1"/>
  <c r="AC173" i="1"/>
  <c r="L56" i="1"/>
  <c r="X56" i="1" s="1"/>
  <c r="L142" i="1"/>
  <c r="E56" i="1"/>
  <c r="R56" i="1" s="1"/>
  <c r="E142" i="1"/>
  <c r="AG141" i="1"/>
  <c r="BC35" i="3"/>
  <c r="BC36" i="3" s="1"/>
  <c r="BI35" i="3"/>
  <c r="BI36" i="3" s="1"/>
  <c r="R141" i="1"/>
  <c r="O35" i="3"/>
  <c r="O36" i="3" s="1"/>
  <c r="CI35" i="3"/>
  <c r="X31" i="1"/>
  <c r="AC179" i="1"/>
  <c r="AC178" i="1"/>
  <c r="I180" i="1"/>
  <c r="V180" i="1" s="1"/>
  <c r="AG177" i="1"/>
  <c r="T40" i="1"/>
  <c r="AG13" i="1"/>
  <c r="T39" i="1"/>
  <c r="L10" i="1"/>
  <c r="X10" i="1" s="1"/>
  <c r="AG10" i="1"/>
  <c r="AF109" i="1"/>
  <c r="Y39" i="1"/>
  <c r="X39" i="1"/>
  <c r="AG109" i="1"/>
  <c r="AB111" i="1"/>
  <c r="AC113" i="1"/>
  <c r="AC114" i="1"/>
  <c r="AC111" i="1"/>
  <c r="AC94" i="1"/>
  <c r="AC70" i="1"/>
  <c r="AB121" i="1"/>
  <c r="AC11" i="1"/>
  <c r="P39" i="1"/>
  <c r="P40" i="1"/>
  <c r="R178" i="1"/>
  <c r="B178" i="1"/>
  <c r="P178" i="1" s="1"/>
  <c r="CC36" i="3"/>
  <c r="Q39" i="1"/>
  <c r="U39" i="1"/>
  <c r="CP36" i="3"/>
  <c r="Q40" i="1"/>
  <c r="Y40" i="1"/>
  <c r="R39" i="1"/>
  <c r="V39" i="1"/>
  <c r="Z39" i="1"/>
  <c r="CV35" i="3"/>
  <c r="CV36" i="3" s="1"/>
  <c r="V40" i="1"/>
  <c r="Z40" i="1"/>
  <c r="X178" i="1"/>
  <c r="V178" i="1"/>
  <c r="EF35" i="3"/>
  <c r="EF36" i="3" s="1"/>
  <c r="CX35" i="3"/>
  <c r="CX36" i="3" s="1"/>
  <c r="U40" i="1"/>
  <c r="S39" i="1"/>
  <c r="W39" i="1"/>
  <c r="AA39" i="1"/>
  <c r="S40" i="1"/>
  <c r="W40" i="1"/>
  <c r="AA40" i="1"/>
  <c r="AG132" i="1"/>
  <c r="AC110" i="1"/>
  <c r="AG171" i="1"/>
  <c r="AC171" i="1"/>
  <c r="L127" i="1"/>
  <c r="X127" i="1" s="1"/>
  <c r="AD127" i="1" s="1"/>
  <c r="AB64" i="1"/>
  <c r="AD62" i="1"/>
  <c r="AC59" i="1"/>
  <c r="AF89" i="1"/>
  <c r="M3" i="1"/>
  <c r="T143" i="1"/>
  <c r="AC62" i="1"/>
  <c r="AD131" i="1"/>
  <c r="AD133" i="1"/>
  <c r="AE133" i="1"/>
  <c r="X172" i="1"/>
  <c r="X173" i="1"/>
  <c r="E174" i="1"/>
  <c r="R174" i="1" s="1"/>
  <c r="AF171" i="1"/>
  <c r="AF57" i="1"/>
  <c r="AB58" i="1"/>
  <c r="AB84" i="1"/>
  <c r="AG84" i="1"/>
  <c r="AC86" i="1"/>
  <c r="AF90" i="1"/>
  <c r="AF110" i="1"/>
  <c r="AE111" i="1"/>
  <c r="AC128" i="1"/>
  <c r="AG131" i="1"/>
  <c r="AC75" i="1"/>
  <c r="AE128" i="1"/>
  <c r="AF130" i="1"/>
  <c r="AB133" i="1"/>
  <c r="AB134" i="1"/>
  <c r="AE173" i="1"/>
  <c r="AE13" i="1"/>
  <c r="O160" i="1"/>
  <c r="AA160" i="1" s="1"/>
  <c r="AC58" i="1"/>
  <c r="AB67" i="1"/>
  <c r="AF83" i="1"/>
  <c r="AC127" i="1"/>
  <c r="AE131" i="1"/>
  <c r="AE134" i="1"/>
  <c r="B171" i="1"/>
  <c r="P171" i="1" s="1"/>
  <c r="AB171" i="1" s="1"/>
  <c r="X171" i="1"/>
  <c r="AG172" i="1"/>
  <c r="AG178" i="1"/>
  <c r="AE178" i="1"/>
  <c r="AB80" i="1"/>
  <c r="AB81" i="1"/>
  <c r="AC88" i="1"/>
  <c r="AC65" i="1"/>
  <c r="AD88" i="1"/>
  <c r="AE109" i="1"/>
  <c r="AF111" i="1"/>
  <c r="AE120" i="1"/>
  <c r="AF122" i="1"/>
  <c r="AF123" i="1"/>
  <c r="AF126" i="1"/>
  <c r="AG128" i="1"/>
  <c r="AF178" i="1"/>
  <c r="L40" i="1"/>
  <c r="AG55" i="1"/>
  <c r="AB55" i="1"/>
  <c r="AC10" i="1"/>
  <c r="AE10" i="1"/>
  <c r="L39" i="1"/>
  <c r="AC13" i="1"/>
  <c r="E39" i="1"/>
  <c r="AG11" i="1"/>
  <c r="AC141" i="1"/>
  <c r="AD180" i="1"/>
  <c r="AE180" i="1"/>
  <c r="AG173" i="1"/>
  <c r="AG174" i="1"/>
  <c r="AE172" i="1"/>
  <c r="B180" i="1"/>
  <c r="P180" i="1" s="1"/>
  <c r="AE179" i="1"/>
  <c r="AG180" i="1"/>
  <c r="AG179" i="1"/>
  <c r="AF179" i="1"/>
  <c r="AG176" i="1"/>
  <c r="AE176" i="1"/>
  <c r="AF176" i="1"/>
  <c r="R172" i="1"/>
  <c r="DB35" i="3" s="1"/>
  <c r="DB36" i="3" s="1"/>
  <c r="AE171" i="1"/>
  <c r="B173" i="1"/>
  <c r="P173" i="1" s="1"/>
  <c r="AB173" i="1" s="1"/>
  <c r="S174" i="1"/>
  <c r="AE174" i="1" s="1"/>
  <c r="AC180" i="1"/>
  <c r="AC172" i="1"/>
  <c r="AC176" i="1"/>
  <c r="L29" i="1"/>
  <c r="X29" i="1" s="1"/>
  <c r="DW35" i="3" s="1"/>
  <c r="X141" i="1"/>
  <c r="L55" i="1"/>
  <c r="X55" i="1" s="1"/>
  <c r="X54" i="1" s="1"/>
  <c r="AE58" i="1"/>
  <c r="AF84" i="1"/>
  <c r="AE88" i="1"/>
  <c r="AF94" i="1"/>
  <c r="AE60" i="1"/>
  <c r="L9" i="1"/>
  <c r="X21" i="1"/>
  <c r="AD21" i="1" s="1"/>
  <c r="AE11" i="1"/>
  <c r="AF11" i="1"/>
  <c r="AF13" i="1"/>
  <c r="R10" i="1"/>
  <c r="E29" i="1"/>
  <c r="R29" i="1" s="1"/>
  <c r="E55" i="1"/>
  <c r="R55" i="1" s="1"/>
  <c r="AD109" i="1"/>
  <c r="AG60" i="1"/>
  <c r="AF61" i="1"/>
  <c r="AG62" i="1"/>
  <c r="AC69" i="1"/>
  <c r="AG82" i="1"/>
  <c r="AD84" i="1"/>
  <c r="AE84" i="1"/>
  <c r="AF86" i="1"/>
  <c r="AC87" i="1"/>
  <c r="AF87" i="1"/>
  <c r="AG90" i="1"/>
  <c r="AE92" i="1"/>
  <c r="AF127" i="1"/>
  <c r="AF128" i="1"/>
  <c r="AB135" i="1"/>
  <c r="AF135" i="1"/>
  <c r="AF137" i="1"/>
  <c r="AF63" i="1"/>
  <c r="AE56" i="1"/>
  <c r="AC77" i="1"/>
  <c r="AE82" i="1"/>
  <c r="AC84" i="1"/>
  <c r="AG85" i="1"/>
  <c r="AF88" i="1"/>
  <c r="AD90" i="1"/>
  <c r="AB94" i="1"/>
  <c r="AD111" i="1"/>
  <c r="AG122" i="1"/>
  <c r="AG123" i="1"/>
  <c r="AE130" i="1"/>
  <c r="AB131" i="1"/>
  <c r="AF138" i="1"/>
  <c r="AB56" i="1"/>
  <c r="AB82" i="1"/>
  <c r="AC92" i="1"/>
  <c r="AB120" i="1"/>
  <c r="AB127" i="1"/>
  <c r="AC136" i="1"/>
  <c r="AC138" i="1"/>
  <c r="AC68" i="1"/>
  <c r="AB77" i="1"/>
  <c r="AB86" i="1"/>
  <c r="AC89" i="1"/>
  <c r="AB109" i="1"/>
  <c r="AB114" i="1"/>
  <c r="AC135" i="1"/>
  <c r="AG63" i="1"/>
  <c r="AD86" i="1"/>
  <c r="AD58" i="1"/>
  <c r="AF60" i="1"/>
  <c r="AC63" i="1"/>
  <c r="AB83" i="1"/>
  <c r="AG58" i="1"/>
  <c r="AE62" i="1"/>
  <c r="AF81" i="1"/>
  <c r="AB92" i="1"/>
  <c r="AG94" i="1"/>
  <c r="AE94" i="1"/>
  <c r="AC95" i="1"/>
  <c r="AE129" i="1"/>
  <c r="AF131" i="1"/>
  <c r="AF134" i="1"/>
  <c r="B140" i="1"/>
  <c r="P140" i="1" s="1"/>
  <c r="AC55" i="1"/>
  <c r="AC56" i="1"/>
  <c r="AF58" i="1"/>
  <c r="AB60" i="1"/>
  <c r="AC61" i="1"/>
  <c r="AB62" i="1"/>
  <c r="AF62" i="1"/>
  <c r="AB63" i="1"/>
  <c r="AC64" i="1"/>
  <c r="AC66" i="1"/>
  <c r="AC67" i="1"/>
  <c r="AB69" i="1"/>
  <c r="AC71" i="1"/>
  <c r="AG81" i="1"/>
  <c r="AC82" i="1"/>
  <c r="AC83" i="1"/>
  <c r="AF85" i="1"/>
  <c r="AG86" i="1"/>
  <c r="AE86" i="1"/>
  <c r="AB90" i="1"/>
  <c r="AF92" i="1"/>
  <c r="AD92" i="1"/>
  <c r="AF93" i="1"/>
  <c r="AF95" i="1"/>
  <c r="AF120" i="1"/>
  <c r="AB122" i="1"/>
  <c r="AB123" i="1"/>
  <c r="AB126" i="1"/>
  <c r="AG127" i="1"/>
  <c r="AE127" i="1"/>
  <c r="AC129" i="1"/>
  <c r="AB129" i="1"/>
  <c r="AF129" i="1"/>
  <c r="AF132" i="1"/>
  <c r="AD134" i="1"/>
  <c r="AC134" i="1"/>
  <c r="AG134" i="1"/>
  <c r="T139" i="1"/>
  <c r="AF55" i="1"/>
  <c r="AG56" i="1"/>
  <c r="AF56" i="1"/>
  <c r="AC60" i="1"/>
  <c r="AB65" i="1"/>
  <c r="AB71" i="1"/>
  <c r="AC73" i="1"/>
  <c r="AB73" i="1"/>
  <c r="AC74" i="1"/>
  <c r="AB75" i="1"/>
  <c r="AC81" i="1"/>
  <c r="AF82" i="1"/>
  <c r="AB88" i="1"/>
  <c r="AG88" i="1"/>
  <c r="AE90" i="1"/>
  <c r="AC90" i="1"/>
  <c r="AG91" i="1"/>
  <c r="AB95" i="1"/>
  <c r="AC109" i="1"/>
  <c r="AB113" i="1"/>
  <c r="AC120" i="1"/>
  <c r="AE122" i="1"/>
  <c r="AC122" i="1"/>
  <c r="AE123" i="1"/>
  <c r="AC123" i="1"/>
  <c r="AC126" i="1"/>
  <c r="AB128" i="1"/>
  <c r="AB130" i="1"/>
  <c r="AF136" i="1"/>
  <c r="AC137" i="1"/>
  <c r="V139" i="1"/>
  <c r="AB141" i="1"/>
  <c r="R9" i="1"/>
  <c r="AD13" i="1"/>
  <c r="E40" i="1"/>
  <c r="AD11" i="1"/>
  <c r="AF10" i="1"/>
  <c r="AB10" i="1"/>
  <c r="T38" i="1"/>
  <c r="E9" i="1"/>
  <c r="V38" i="1"/>
  <c r="AB11" i="1"/>
  <c r="AB13" i="1"/>
  <c r="U38" i="1"/>
  <c r="AD60" i="1"/>
  <c r="AC80" i="1"/>
  <c r="Q38" i="1"/>
  <c r="AE55" i="1"/>
  <c r="AC57" i="1"/>
  <c r="AD122" i="1"/>
  <c r="R128" i="1"/>
  <c r="AD128" i="1" s="1"/>
  <c r="S38" i="1"/>
  <c r="AC76" i="1"/>
  <c r="AD82" i="1"/>
  <c r="AG83" i="1"/>
  <c r="AC112" i="1"/>
  <c r="AB172" i="1"/>
  <c r="AD123" i="1"/>
  <c r="AD126" i="1"/>
  <c r="R28" i="1"/>
  <c r="AG57" i="1"/>
  <c r="AF59" i="1"/>
  <c r="AG61" i="1"/>
  <c r="AC78" i="1"/>
  <c r="R81" i="1"/>
  <c r="R130" i="1"/>
  <c r="AD130" i="1" s="1"/>
  <c r="X176" i="1"/>
  <c r="AD94" i="1"/>
  <c r="AG110" i="1"/>
  <c r="AF172" i="1"/>
  <c r="AF173" i="1"/>
  <c r="Z174" i="1"/>
  <c r="AF174" i="1" s="1"/>
  <c r="L174" i="1"/>
  <c r="D140" i="1"/>
  <c r="Q140" i="1" s="1"/>
  <c r="Q177" i="1"/>
  <c r="R31" i="1"/>
  <c r="R42" i="1" s="1"/>
  <c r="W38" i="1"/>
  <c r="AA38" i="1"/>
  <c r="R57" i="1"/>
  <c r="AC85" i="1"/>
  <c r="AG87" i="1"/>
  <c r="AG89" i="1"/>
  <c r="AC121" i="1"/>
  <c r="AC133" i="1"/>
  <c r="S139" i="1"/>
  <c r="F140" i="1"/>
  <c r="S140" i="1" s="1"/>
  <c r="Z139" i="1"/>
  <c r="R176" i="1"/>
  <c r="B176" i="1"/>
  <c r="P176" i="1" s="1"/>
  <c r="W177" i="1"/>
  <c r="AG130" i="1"/>
  <c r="E177" i="1"/>
  <c r="R177" i="1" s="1"/>
  <c r="DI35" i="3" s="1"/>
  <c r="DI36" i="3" s="1"/>
  <c r="L177" i="1"/>
  <c r="X177" i="1" s="1"/>
  <c r="S177" i="1"/>
  <c r="AE177" i="1" s="1"/>
  <c r="R179" i="1"/>
  <c r="B179" i="1"/>
  <c r="P179" i="1" s="1"/>
  <c r="H140" i="1"/>
  <c r="U140" i="1" s="1"/>
  <c r="AF141" i="1"/>
  <c r="AF177" i="1"/>
  <c r="I179" i="1"/>
  <c r="V179" i="1" s="1"/>
  <c r="X179" i="1"/>
  <c r="W139" i="1"/>
  <c r="AA139" i="1"/>
  <c r="AG139" i="1" s="1"/>
  <c r="Y139" i="1"/>
  <c r="AD80" i="1" l="1"/>
  <c r="CD35" i="3"/>
  <c r="DV35" i="3"/>
  <c r="DV36" i="3" s="1"/>
  <c r="AD29" i="1"/>
  <c r="K198" i="6"/>
  <c r="H198" i="6"/>
  <c r="L196" i="6"/>
  <c r="I196" i="6"/>
  <c r="M190" i="6"/>
  <c r="J190" i="6"/>
  <c r="AD173" i="1"/>
  <c r="M198" i="6"/>
  <c r="J198" i="6"/>
  <c r="M196" i="6"/>
  <c r="J196" i="6"/>
  <c r="DF35" i="3"/>
  <c r="DF36" i="3" s="1"/>
  <c r="K197" i="6"/>
  <c r="H197" i="6"/>
  <c r="M197" i="6"/>
  <c r="J197" i="6"/>
  <c r="H199" i="6"/>
  <c r="AC139" i="1"/>
  <c r="AB139" i="1"/>
  <c r="CQ35" i="3"/>
  <c r="CJ35" i="3"/>
  <c r="Q144" i="1"/>
  <c r="D161" i="1"/>
  <c r="R161" i="1" s="1"/>
  <c r="N145" i="1"/>
  <c r="N161" i="1"/>
  <c r="Z144" i="1"/>
  <c r="X42" i="1"/>
  <c r="X43" i="1" s="1"/>
  <c r="AD31" i="1"/>
  <c r="O145" i="1"/>
  <c r="O161" i="1"/>
  <c r="AA144" i="1"/>
  <c r="M145" i="1"/>
  <c r="Y144" i="1"/>
  <c r="L144" i="1"/>
  <c r="M161" i="1"/>
  <c r="AA161" i="1" s="1"/>
  <c r="H145" i="1"/>
  <c r="H161" i="1"/>
  <c r="V161" i="1" s="1"/>
  <c r="U144" i="1"/>
  <c r="G145" i="1"/>
  <c r="T144" i="1"/>
  <c r="T145" i="1" s="1"/>
  <c r="G161" i="1"/>
  <c r="U161" i="1" s="1"/>
  <c r="F145" i="1"/>
  <c r="F161" i="1"/>
  <c r="T161" i="1" s="1"/>
  <c r="S144" i="1"/>
  <c r="E144" i="1"/>
  <c r="P153" i="1"/>
  <c r="AD120" i="1"/>
  <c r="R43" i="1"/>
  <c r="L43" i="1"/>
  <c r="E139" i="1"/>
  <c r="R139" i="1" s="1"/>
  <c r="AK35" i="3" s="1"/>
  <c r="AK36" i="3" s="1"/>
  <c r="AD141" i="1"/>
  <c r="AB38" i="1"/>
  <c r="AF38" i="1"/>
  <c r="E43" i="1"/>
  <c r="L139" i="1"/>
  <c r="L140" i="1" s="1"/>
  <c r="X140" i="1" s="1"/>
  <c r="AE38" i="1"/>
  <c r="B174" i="1"/>
  <c r="P174" i="1" s="1"/>
  <c r="CI36" i="3"/>
  <c r="AD178" i="1"/>
  <c r="AF40" i="1"/>
  <c r="AB180" i="1"/>
  <c r="BK35" i="3"/>
  <c r="BK36" i="3" s="1"/>
  <c r="V176" i="1"/>
  <c r="CY35" i="3"/>
  <c r="X40" i="1"/>
  <c r="AB40" i="1"/>
  <c r="AG40" i="1"/>
  <c r="AE40" i="1"/>
  <c r="AC40" i="1"/>
  <c r="AE39" i="1"/>
  <c r="AB39" i="1"/>
  <c r="AF39" i="1"/>
  <c r="AC39" i="1"/>
  <c r="AD10" i="1"/>
  <c r="AG39" i="1"/>
  <c r="AB178" i="1"/>
  <c r="BJ35" i="3"/>
  <c r="DW36" i="3"/>
  <c r="I177" i="1"/>
  <c r="V177" i="1" s="1"/>
  <c r="B177" i="1"/>
  <c r="P177" i="1" s="1"/>
  <c r="DJ35" i="3"/>
  <c r="DJ36" i="3" s="1"/>
  <c r="R40" i="1"/>
  <c r="L38" i="1"/>
  <c r="AD171" i="1"/>
  <c r="DD35" i="3"/>
  <c r="DD36" i="3" s="1"/>
  <c r="AD172" i="1"/>
  <c r="W143" i="1"/>
  <c r="AA143" i="1"/>
  <c r="G160" i="1"/>
  <c r="T160" i="1" s="1"/>
  <c r="V143" i="1"/>
  <c r="V145" i="1" s="1"/>
  <c r="AD55" i="1"/>
  <c r="AF139" i="1"/>
  <c r="E38" i="1"/>
  <c r="Y143" i="1"/>
  <c r="AD39" i="1"/>
  <c r="AB179" i="1"/>
  <c r="AD177" i="1"/>
  <c r="AD56" i="1"/>
  <c r="M160" i="1"/>
  <c r="Y160" i="1" s="1"/>
  <c r="AC38" i="1"/>
  <c r="H160" i="1"/>
  <c r="U160" i="1" s="1"/>
  <c r="U143" i="1"/>
  <c r="AD179" i="1"/>
  <c r="I174" i="1"/>
  <c r="V174" i="1" s="1"/>
  <c r="X174" i="1"/>
  <c r="F160" i="1"/>
  <c r="S160" i="1" s="1"/>
  <c r="S143" i="1"/>
  <c r="AE139" i="1"/>
  <c r="AD176" i="1"/>
  <c r="N160" i="1"/>
  <c r="Z160" i="1" s="1"/>
  <c r="Z143" i="1"/>
  <c r="D160" i="1"/>
  <c r="Q160" i="1" s="1"/>
  <c r="Q143" i="1"/>
  <c r="D145" i="1"/>
  <c r="D47" i="1" s="1"/>
  <c r="AC177" i="1"/>
  <c r="AG38" i="1"/>
  <c r="B160" i="1"/>
  <c r="P160" i="1" s="1"/>
  <c r="B145" i="1"/>
  <c r="P143" i="1"/>
  <c r="P145" i="1" s="1"/>
  <c r="DX35" i="3" l="1"/>
  <c r="Z145" i="1"/>
  <c r="K193" i="6"/>
  <c r="H193" i="6"/>
  <c r="M192" i="6"/>
  <c r="J192" i="6"/>
  <c r="AD174" i="1"/>
  <c r="M191" i="6"/>
  <c r="J191" i="6"/>
  <c r="U145" i="1"/>
  <c r="AA145" i="1"/>
  <c r="Y145" i="1"/>
  <c r="S145" i="1"/>
  <c r="X144" i="1"/>
  <c r="L161" i="1"/>
  <c r="Z161" i="1" s="1"/>
  <c r="R144" i="1"/>
  <c r="E161" i="1"/>
  <c r="S161" i="1" s="1"/>
  <c r="P151" i="1"/>
  <c r="B162" i="1"/>
  <c r="P162" i="1" s="1"/>
  <c r="B161" i="1"/>
  <c r="P161" i="1" s="1"/>
  <c r="E140" i="1"/>
  <c r="R140" i="1" s="1"/>
  <c r="X139" i="1"/>
  <c r="AL35" i="3" s="1"/>
  <c r="AM35" i="3" s="1"/>
  <c r="E145" i="1"/>
  <c r="E41" i="1"/>
  <c r="X38" i="1"/>
  <c r="AE35" i="3" s="1"/>
  <c r="AE36" i="3" s="1"/>
  <c r="L41" i="1"/>
  <c r="AB174" i="1"/>
  <c r="DK35" i="3"/>
  <c r="DK36" i="3" s="1"/>
  <c r="Q145" i="1"/>
  <c r="W145" i="1"/>
  <c r="AB176" i="1"/>
  <c r="AD40" i="1"/>
  <c r="L143" i="1"/>
  <c r="BJ36" i="3"/>
  <c r="BL35" i="3"/>
  <c r="R38" i="1"/>
  <c r="AB177" i="1"/>
  <c r="M193" i="6" l="1"/>
  <c r="J193" i="6"/>
  <c r="K196" i="6"/>
  <c r="H196" i="6"/>
  <c r="X143" i="1"/>
  <c r="X145" i="1" s="1"/>
  <c r="AW35" i="3"/>
  <c r="R143" i="1"/>
  <c r="R145" i="1" s="1"/>
  <c r="AL36" i="3"/>
  <c r="AD139" i="1"/>
  <c r="E160" i="1"/>
  <c r="R160" i="1" s="1"/>
  <c r="L160" i="1"/>
  <c r="X160" i="1" s="1"/>
  <c r="L145" i="1"/>
  <c r="AD38" i="1"/>
  <c r="AD35" i="3"/>
  <c r="AD36" i="3" l="1"/>
  <c r="AF35" i="3"/>
</calcChain>
</file>

<file path=xl/sharedStrings.xml><?xml version="1.0" encoding="utf-8"?>
<sst xmlns="http://schemas.openxmlformats.org/spreadsheetml/2006/main" count="6594" uniqueCount="2476">
  <si>
    <t>Приложение № 1</t>
  </si>
  <si>
    <t>Показатели</t>
  </si>
  <si>
    <t>Процент выполнения (%)</t>
  </si>
  <si>
    <t>Консоли-дирован-ный бюджет области</t>
  </si>
  <si>
    <t>в том числе бюджеты:</t>
  </si>
  <si>
    <t>из них бюджеты:</t>
  </si>
  <si>
    <t>суммы подлежащие исключению</t>
  </si>
  <si>
    <t>област-ной</t>
  </si>
  <si>
    <t>консоли-дирован-ные бюджеты МО</t>
  </si>
  <si>
    <t>в т.ч.:</t>
  </si>
  <si>
    <t>город-ские</t>
  </si>
  <si>
    <t>район-ные</t>
  </si>
  <si>
    <t>поселе-ний</t>
  </si>
  <si>
    <t>посе-лений</t>
  </si>
  <si>
    <t>А</t>
  </si>
  <si>
    <t>1</t>
  </si>
  <si>
    <t>2</t>
  </si>
  <si>
    <t>3</t>
  </si>
  <si>
    <t>7</t>
  </si>
  <si>
    <t>8</t>
  </si>
  <si>
    <t>9</t>
  </si>
  <si>
    <t>13=7/1*100</t>
  </si>
  <si>
    <t>14=8/2*100</t>
  </si>
  <si>
    <t>15=9/3*100</t>
  </si>
  <si>
    <t>16=10/4*100</t>
  </si>
  <si>
    <t>17=11/5*100</t>
  </si>
  <si>
    <t>18=12/6*100</t>
  </si>
  <si>
    <t>ДОХОДЫ (по форме 0503317)</t>
  </si>
  <si>
    <t>Доходы бюджета - ИТОГО - спрятать</t>
  </si>
  <si>
    <t>Налоговые и неналоговые доходы, из них:</t>
  </si>
  <si>
    <t>Налог на прибыль организаций</t>
  </si>
  <si>
    <t>-</t>
  </si>
  <si>
    <t>Налог на доходы физических лиц</t>
  </si>
  <si>
    <t>Акцизы</t>
  </si>
  <si>
    <t>Налоги на совокупный доход</t>
  </si>
  <si>
    <t>Налоги на имущество</t>
  </si>
  <si>
    <t>Налоги, сборы и регулярные платежи за пользование природными ресурсами</t>
  </si>
  <si>
    <t>Государственная пошлина</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</si>
  <si>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</si>
  <si>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</si>
  <si>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</si>
  <si>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Доходы от оказания платных услуг (работ) и компенсации затрат государства</t>
  </si>
  <si>
    <t>Доходы от продажи активов</t>
  </si>
  <si>
    <t>Административные платежи и сборы</t>
  </si>
  <si>
    <t>Штрафы, санкции, возмещение ущерба</t>
  </si>
  <si>
    <t>Прочие неналоговые доходы</t>
  </si>
  <si>
    <t xml:space="preserve"> - из них: невыясненные поступления</t>
  </si>
  <si>
    <t>Поступления (перечисления) по урегулированию расчетов между бюджетами</t>
  </si>
  <si>
    <t>Безвозмездные поступления, в т.ч.:</t>
  </si>
  <si>
    <t>1. От нерезидентов</t>
  </si>
  <si>
    <t>1. От других бюджетов</t>
  </si>
  <si>
    <t>2. Безвозмездные поступления от государственных (муниципальных) организаций</t>
  </si>
  <si>
    <t>3. Безвозмездные поступления от негосударственных  организаций</t>
  </si>
  <si>
    <t>4. Прочие безвозмездные поступления</t>
  </si>
  <si>
    <t>5.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</si>
  <si>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6. Доходы от возврата целевых остатков прошлых лет</t>
  </si>
  <si>
    <t>7. Возврат целевых остатков прошлых лет</t>
  </si>
  <si>
    <t>ВСЕГО ДОХОДЫ, из них:</t>
  </si>
  <si>
    <t xml:space="preserve"> - налоговые доходы</t>
  </si>
  <si>
    <t xml:space="preserve"> - неналоговые доходы</t>
  </si>
  <si>
    <t>Контроль - спрятать</t>
  </si>
  <si>
    <t>Итого безвозмездные</t>
  </si>
  <si>
    <t>Отклонение</t>
  </si>
  <si>
    <t>Отклонения в доходах получено поселениями от районов и в расходах - отдано в районах межбюджетных</t>
  </si>
  <si>
    <t>посе-ле-ний</t>
  </si>
  <si>
    <t>РАСХОДЫ (по форме 0503317)</t>
  </si>
  <si>
    <r>
      <t xml:space="preserve">Расходы - </t>
    </r>
    <r>
      <rPr>
        <b/>
        <sz val="10"/>
        <color indexed="10"/>
        <rFont val="Arial"/>
        <family val="2"/>
        <charset val="204"/>
      </rPr>
      <t>спрятать</t>
    </r>
  </si>
  <si>
    <t>Общегосударственные вопросы (01)</t>
  </si>
  <si>
    <t>в т.ч. межбюджетные трансферты</t>
  </si>
  <si>
    <t>Национальная оборона (02)</t>
  </si>
  <si>
    <t>Национальная безопасность и правоохранительная деятельность (03)</t>
  </si>
  <si>
    <t>Национальная экономика (04), из них:</t>
  </si>
  <si>
    <t xml:space="preserve"> - общеэкономические вопросы (0401)</t>
  </si>
  <si>
    <t xml:space="preserve"> - топливно-энергетический комплекс (0402)</t>
  </si>
  <si>
    <t xml:space="preserve">   в т.ч межбюджетные трансферты</t>
  </si>
  <si>
    <t xml:space="preserve"> - сельское хозяйство и рыболовство (0405)</t>
  </si>
  <si>
    <t xml:space="preserve"> - водное хозяйство (0406)</t>
  </si>
  <si>
    <t xml:space="preserve"> - лесное хозяйство (0407)</t>
  </si>
  <si>
    <t xml:space="preserve"> - транспорт (0408)</t>
  </si>
  <si>
    <t xml:space="preserve"> - дорожное хозяйство, фонды (0409)</t>
  </si>
  <si>
    <t xml:space="preserve"> - связь и информатика (0410)</t>
  </si>
  <si>
    <t xml:space="preserve"> - другие вопросы в области национальной экономики (0412)</t>
  </si>
  <si>
    <t>Жилищно-коммунальное хозяйство (05), из них:</t>
  </si>
  <si>
    <t xml:space="preserve"> - жилищное хозяйство (0501)</t>
  </si>
  <si>
    <t xml:space="preserve"> - коммунальное хозяйство (0502)</t>
  </si>
  <si>
    <t xml:space="preserve"> - благоустройство (0503)</t>
  </si>
  <si>
    <t xml:space="preserve"> - другие вопросы в области жилищно-коммунального хозяйства (0505)</t>
  </si>
  <si>
    <t>Охрана окружающей среды (06)</t>
  </si>
  <si>
    <t>Культура, кинематография (08)</t>
  </si>
  <si>
    <t>Здравоохранение (09), из них:</t>
  </si>
  <si>
    <t xml:space="preserve"> - стационарная медицинская помощь (0901)</t>
  </si>
  <si>
    <t xml:space="preserve"> - амбулаторная помощь (0902)</t>
  </si>
  <si>
    <t xml:space="preserve"> - другие вопросы в области здравоохранения (0909)</t>
  </si>
  <si>
    <t>Социальная политика (1000), из них:</t>
  </si>
  <si>
    <t xml:space="preserve"> - социальное обслуживание населения (1002)</t>
  </si>
  <si>
    <t xml:space="preserve"> - социальное обеспечение населения (1003)</t>
  </si>
  <si>
    <t xml:space="preserve"> - охрана семьи и детства (1004)</t>
  </si>
  <si>
    <t>Физическая культура и спорт (1100)</t>
  </si>
  <si>
    <t>Средства массовой информации (1200)</t>
  </si>
  <si>
    <t>Обслуживание гос. и муниципального долга (1300)</t>
  </si>
  <si>
    <t>Межбюджетные трансферты общего характера (1400)</t>
  </si>
  <si>
    <t>ВСЕГО РАСХОДЫ</t>
  </si>
  <si>
    <t>контроль - спрятать</t>
  </si>
  <si>
    <t>контроль межбюджетных - спрятать</t>
  </si>
  <si>
    <t>РЕЗУЛЬТАТ ИСПОЛНЕНИЯ БЮДЖЕТОВ:                   дефицит (-),  профицит (+)</t>
  </si>
  <si>
    <t>х</t>
  </si>
  <si>
    <t>Контроль результата - спрятать</t>
  </si>
  <si>
    <t>Источники финансирования дефицита бюджетов (по форме 0503317), в т.ч.:</t>
  </si>
  <si>
    <t>Кредиты кредитных организаций (оборот)</t>
  </si>
  <si>
    <t>Бюджетные кредиты (оборот)</t>
  </si>
  <si>
    <t>Средства от продажи акций и иных форм участия в капитале</t>
  </si>
  <si>
    <t>Исполнение государственных и муниципальных гарантий</t>
  </si>
  <si>
    <t>Возврат бюджетных кредитов</t>
  </si>
  <si>
    <t>Операции по управлению остатками средств на единых счетах бюджетов (оборот)</t>
  </si>
  <si>
    <t>Изменение остатков средств бюджетов (оборот)</t>
  </si>
  <si>
    <t>СПРАВОЧНО:</t>
  </si>
  <si>
    <t>Изменение (+/-), млн.руб.</t>
  </si>
  <si>
    <t xml:space="preserve">  целевые (ф. 0503387), в т.ч.:</t>
  </si>
  <si>
    <t xml:space="preserve">         - федерального бюджета</t>
  </si>
  <si>
    <t xml:space="preserve">         - областного бюджета</t>
  </si>
  <si>
    <t>Внутренний долг, в т.ч.:</t>
  </si>
  <si>
    <t xml:space="preserve"> - по бюджетным кредитам</t>
  </si>
  <si>
    <t xml:space="preserve"> - по кредитам кредитных организаций</t>
  </si>
  <si>
    <t xml:space="preserve"> - по выданным гарантиям</t>
  </si>
  <si>
    <t>Бюджеты</t>
  </si>
  <si>
    <t>ДОХОДЫ, всего с внутренними оборотами</t>
  </si>
  <si>
    <t>Межбюджетные трансферты в расходах - внутренние обороты (ВР 500 по разделам и подразделам)</t>
  </si>
  <si>
    <t>РАСХОДЫ, всего с внутренними оборотами</t>
  </si>
  <si>
    <t>Итого ДОХОДЫ</t>
  </si>
  <si>
    <t>Итого ДОХОДЫ - сайт Правительства АО, по месячной форме</t>
  </si>
  <si>
    <t>Итого РАСХОДЫ</t>
  </si>
  <si>
    <t>Безвозмездые поступления от других бюджетов, всего с внутренними оборотами</t>
  </si>
  <si>
    <t>Безвозмездные из областного бюджета</t>
  </si>
  <si>
    <t>Налоговые и неналоговые доходы</t>
  </si>
  <si>
    <t>Доходы от продажи материальных и нематериальных активов</t>
  </si>
  <si>
    <t>в т.ч.</t>
  </si>
  <si>
    <t>Безвозмездные поступления ВСЕГО, с внутренними оборотами</t>
  </si>
  <si>
    <t>НДФЛ</t>
  </si>
  <si>
    <t>Назначено</t>
  </si>
  <si>
    <t>Исполнено</t>
  </si>
  <si>
    <t>%</t>
  </si>
  <si>
    <t>целевые (ф. 387)</t>
  </si>
  <si>
    <t>целевые</t>
  </si>
  <si>
    <t>целевых</t>
  </si>
  <si>
    <t>город</t>
  </si>
  <si>
    <t>район</t>
  </si>
  <si>
    <t>посел. гор.</t>
  </si>
  <si>
    <t>посел. сель</t>
  </si>
  <si>
    <t>ВСЕГО в тыс.руб.</t>
  </si>
  <si>
    <t>Неправильно отражено</t>
  </si>
  <si>
    <t>итого</t>
  </si>
  <si>
    <t>всего руб.</t>
  </si>
  <si>
    <t>Вельский район</t>
  </si>
  <si>
    <t>Верхнетоемский район</t>
  </si>
  <si>
    <t>Вилегодский район</t>
  </si>
  <si>
    <t>Виноградовский район</t>
  </si>
  <si>
    <t>Каргопольский район</t>
  </si>
  <si>
    <t>Коношский район</t>
  </si>
  <si>
    <t>Котласский район</t>
  </si>
  <si>
    <t>Красноборский район</t>
  </si>
  <si>
    <t>Ленский район</t>
  </si>
  <si>
    <t>Лешуконский район</t>
  </si>
  <si>
    <t>Мезенский район</t>
  </si>
  <si>
    <t>Няндомский район</t>
  </si>
  <si>
    <t>Онежский район</t>
  </si>
  <si>
    <t>Пинежский район</t>
  </si>
  <si>
    <t>Плесецкий район</t>
  </si>
  <si>
    <t>Приморский район</t>
  </si>
  <si>
    <t>Устьянский район</t>
  </si>
  <si>
    <t>Холмогорский район</t>
  </si>
  <si>
    <t>Шенкурский район</t>
  </si>
  <si>
    <t>Город Архангельск</t>
  </si>
  <si>
    <t>Северодвинск</t>
  </si>
  <si>
    <t>Котлас</t>
  </si>
  <si>
    <t>Город Новодвинск</t>
  </si>
  <si>
    <t>Город Коряжма</t>
  </si>
  <si>
    <t>Мирный</t>
  </si>
  <si>
    <t>Новая Земля</t>
  </si>
  <si>
    <t>Итого по МО</t>
  </si>
  <si>
    <t>Приложение № 2</t>
  </si>
  <si>
    <t>тыс.руб.</t>
  </si>
  <si>
    <t>Консолидированные бюджеты</t>
  </si>
  <si>
    <t>Доходы</t>
  </si>
  <si>
    <t>Расходы</t>
  </si>
  <si>
    <t>назначено на год</t>
  </si>
  <si>
    <t>исполнено</t>
  </si>
  <si>
    <t>Всего</t>
  </si>
  <si>
    <t>в т.ч. целевых</t>
  </si>
  <si>
    <t>3=2/1</t>
  </si>
  <si>
    <t>4</t>
  </si>
  <si>
    <t>5=4/3</t>
  </si>
  <si>
    <t>6</t>
  </si>
  <si>
    <t>10</t>
  </si>
  <si>
    <t>11</t>
  </si>
  <si>
    <t>12</t>
  </si>
  <si>
    <t>Приложение № 3</t>
  </si>
  <si>
    <t>из них:</t>
  </si>
  <si>
    <t>налог на доходы физических лиц</t>
  </si>
  <si>
    <t>налоги на совокупный доход</t>
  </si>
  <si>
    <t>налоги на имущество</t>
  </si>
  <si>
    <t>5</t>
  </si>
  <si>
    <t>13</t>
  </si>
  <si>
    <t>14</t>
  </si>
  <si>
    <t>15</t>
  </si>
  <si>
    <t>16</t>
  </si>
  <si>
    <t>17</t>
  </si>
  <si>
    <t>18</t>
  </si>
  <si>
    <t>доходы от продажи активов</t>
  </si>
  <si>
    <t>субсидии</t>
  </si>
  <si>
    <t>субвенции</t>
  </si>
  <si>
    <t>дотации</t>
  </si>
  <si>
    <t>Приложение № 4</t>
  </si>
  <si>
    <t>табл. Конс. Расчсетов</t>
  </si>
  <si>
    <t>отклоние</t>
  </si>
  <si>
    <t>Просроченная кредиторская задолженность (ф. 0503369)</t>
  </si>
  <si>
    <t>Внутренний долг</t>
  </si>
  <si>
    <t>7=4-1</t>
  </si>
  <si>
    <t>8=5-2</t>
  </si>
  <si>
    <t>9=6-3</t>
  </si>
  <si>
    <t>10=4/1*100-100</t>
  </si>
  <si>
    <t>11=5/2*100-100</t>
  </si>
  <si>
    <t>12=6/3*100-100</t>
  </si>
  <si>
    <t>Налоги на имущество, из них:</t>
  </si>
  <si>
    <t xml:space="preserve">  - налог на имущество физических лиц</t>
  </si>
  <si>
    <t xml:space="preserve">  - налог на имущество организаций</t>
  </si>
  <si>
    <t xml:space="preserve">  - транспортный налог</t>
  </si>
  <si>
    <t xml:space="preserve">  - земельный налог</t>
  </si>
  <si>
    <t>Налоги, сборы и регулярные платежи за пользование природными ресурсами, из них:</t>
  </si>
  <si>
    <t xml:space="preserve">  - налог на добычу полезных ископаемых в виде природных алмазов</t>
  </si>
  <si>
    <t>Платежи при пользовании природными ресурсами, из них:</t>
  </si>
  <si>
    <t xml:space="preserve">  - плата за негативное воздействие на окружающую среду</t>
  </si>
  <si>
    <t xml:space="preserve">  - платежи при пользовании недрами</t>
  </si>
  <si>
    <t xml:space="preserve">  - плата за использование лесов</t>
  </si>
  <si>
    <t xml:space="preserve">  - доходы от оказания платных услуг (работ)</t>
  </si>
  <si>
    <t xml:space="preserve">  -доходы от компенсации затрат государства</t>
  </si>
  <si>
    <t>01 00. Общегосударственные вопросы</t>
  </si>
  <si>
    <t>01 02. Функционирование высшего должностного лица субъекта РФ и муниципального образования</t>
  </si>
  <si>
    <t>01 03. Функционирование законодательных (представительных) органов государственной власти и представительных органов муниципальных образований</t>
  </si>
  <si>
    <t>01 04. Функционирование Правительства РФ, высших исполнительных органов государственной власти субъектов РФ, местных администраций</t>
  </si>
  <si>
    <t>01 05. Судебная система</t>
  </si>
  <si>
    <t>01 06. Обеспечение деятельности финансовых, налоговых и таможенных органов и органов финансового (финансово-бюджетного) надзора</t>
  </si>
  <si>
    <t>01 07. Обеспечение проведения выборов и референдумов</t>
  </si>
  <si>
    <t>01 11. Резервные фонды</t>
  </si>
  <si>
    <t>01 12. Прикладные научные исследования в области общегосударственных вопросов</t>
  </si>
  <si>
    <t>01 13. Другие общегосударственные вопросы</t>
  </si>
  <si>
    <t>02 00. Национальная оборона</t>
  </si>
  <si>
    <t>02 03. Мобилизационная и вневойсковая подготовка</t>
  </si>
  <si>
    <t>03 00. Национальная безопасность и правоохранительная деятельность</t>
  </si>
  <si>
    <t>03 02. Органы внутренних дел</t>
  </si>
  <si>
    <t>03 09. Защита населения и территории от чрезвычайных ситуаций природного и техногенного характера, гражданская оборона</t>
  </si>
  <si>
    <t>03 10. Обеспечение пожарной безопасности</t>
  </si>
  <si>
    <t>03 14. Другие вопросы в области национальной безопасности и правоохранительной деятельности</t>
  </si>
  <si>
    <t>04 00. Национальная экономика</t>
  </si>
  <si>
    <t>04 01. Общеэкономические вопросы</t>
  </si>
  <si>
    <t>04 02. Топливно-энергетический комплекс</t>
  </si>
  <si>
    <t>04 05. Сельское хозяйство и рыболовство</t>
  </si>
  <si>
    <t>04 06. Водное хозяйство</t>
  </si>
  <si>
    <t>04 07. Лесное хозяйство</t>
  </si>
  <si>
    <t>04 08. Транспорт</t>
  </si>
  <si>
    <t>04 09. Дорожное хозяйство (дорожные фонды)</t>
  </si>
  <si>
    <t>04 10. Связь и информатика</t>
  </si>
  <si>
    <t>04 12. Другие вопросы в области национальной экономики</t>
  </si>
  <si>
    <t>05 00. Жилищно-коммунальное хозяйство</t>
  </si>
  <si>
    <t>05 01. Жилищное хозяйство</t>
  </si>
  <si>
    <t>05 03. Благоустройство</t>
  </si>
  <si>
    <t>05 05. Другие вопросы в области жилищно-коммунального хозяйства</t>
  </si>
  <si>
    <t>06 00. Охрана окружающей среды</t>
  </si>
  <si>
    <t>06 02. Сбор, удаление отходов и очистка сточных вод</t>
  </si>
  <si>
    <t>06 03. Охрана объектов растительного и животного мира и среды их обитания</t>
  </si>
  <si>
    <t>06 05. Другие вопросы в области охраны окружающей среды</t>
  </si>
  <si>
    <t>07 00. Образование</t>
  </si>
  <si>
    <t>07 01. Дошкольное образование</t>
  </si>
  <si>
    <t>07 02. Общее образование</t>
  </si>
  <si>
    <t>07 04. Среднее профессиональное образование</t>
  </si>
  <si>
    <t>07 05. Профессиональная подготовка, переподготовка и повышение квалификации</t>
  </si>
  <si>
    <t>07 08. Прикладные научные исследования в области образования</t>
  </si>
  <si>
    <t>07 09. Другие вопросы в области образования</t>
  </si>
  <si>
    <t>08 00. Культура, кинематография</t>
  </si>
  <si>
    <t>08 01. Культура</t>
  </si>
  <si>
    <t>08 04. Другие вопросы в области культуры, кинематографии</t>
  </si>
  <si>
    <t>09 00. Здравоохранение</t>
  </si>
  <si>
    <t>09 01. Стационарная медицинская помощь</t>
  </si>
  <si>
    <t>09 02. Амбулаторная помощь</t>
  </si>
  <si>
    <t>09 04. Скорая медицинская помощь</t>
  </si>
  <si>
    <t>09 05. Санаторно-оздоровительная помощь</t>
  </si>
  <si>
    <t>09 06. Заготовка, переработка, хранение и обеспечение безопасности донорской крови и её компонентов</t>
  </si>
  <si>
    <t>09 07. Санитарно-эпидемиологическое благополучие</t>
  </si>
  <si>
    <t>09 09. Другие вопросы в области здравоохранения</t>
  </si>
  <si>
    <t>10 00. Социальная политика</t>
  </si>
  <si>
    <t>10 01. Пенсионное обеспечение</t>
  </si>
  <si>
    <t>10 02. Социальное обслуживание населения</t>
  </si>
  <si>
    <t>10 04. Охрана семьи и детства</t>
  </si>
  <si>
    <t>10 06. Другие вопросы в области социальной политики</t>
  </si>
  <si>
    <t>11 00. Физическая культура и спорт</t>
  </si>
  <si>
    <t>11 01. Физическая культура</t>
  </si>
  <si>
    <t>11 02. Массовый спорт</t>
  </si>
  <si>
    <t>11 03. Спорт высших достижений</t>
  </si>
  <si>
    <t>11 05. Другие вопросы в области физической культуры и спорта</t>
  </si>
  <si>
    <t>12 00. Средства массовой информации</t>
  </si>
  <si>
    <t>12 01. Телевидение и радиовещание</t>
  </si>
  <si>
    <t>12 02. Периодическая печать и издательства</t>
  </si>
  <si>
    <t>12 04. Другие вопросы в области средств массовой информации</t>
  </si>
  <si>
    <t>13 00. Обслуживание государственного и муниципального долга</t>
  </si>
  <si>
    <t>13 01. Обслуживание государственного внутреннего и муниципального долга</t>
  </si>
  <si>
    <t>14 00. Межбюджетные трансферты общего характера бюджетам субъектов РФ и муниципальных образований</t>
  </si>
  <si>
    <t>14 01. Дотации на выравнивание бюджетной обеспеченности субъектов РФ и муниципальных образований</t>
  </si>
  <si>
    <t>14 02. Иные дотации</t>
  </si>
  <si>
    <t>14 03. Прочие межбюджетные трансферты общего характера</t>
  </si>
  <si>
    <t xml:space="preserve"> - межбюджетные</t>
  </si>
  <si>
    <t>Операции по управлению остатками средств на единых счетах бюджетов</t>
  </si>
  <si>
    <t>09 03. Медицинская помощь в дневных стационарах всех типов</t>
  </si>
  <si>
    <t>Наименование</t>
  </si>
  <si>
    <t>ДОХОДЫ</t>
  </si>
  <si>
    <t>РАСХОДЫ</t>
  </si>
  <si>
    <t>бюд-жетные</t>
  </si>
  <si>
    <t>Областные учреждения</t>
  </si>
  <si>
    <t>Всего по области</t>
  </si>
  <si>
    <t>бюджетные</t>
  </si>
  <si>
    <t>Итого</t>
  </si>
  <si>
    <t>Дебиторская задолженность</t>
  </si>
  <si>
    <t>Кредиторская задолженность</t>
  </si>
  <si>
    <t>ВСЕГО</t>
  </si>
  <si>
    <t>из нее:</t>
  </si>
  <si>
    <t>Бюд-жетные</t>
  </si>
  <si>
    <t>просро-ченная</t>
  </si>
  <si>
    <t>всего</t>
  </si>
  <si>
    <t>в т.ч. просроч.</t>
  </si>
  <si>
    <t>Уд. вес. просро-ченной, в %</t>
  </si>
  <si>
    <t>3=2/1%</t>
  </si>
  <si>
    <t>6=5/4%</t>
  </si>
  <si>
    <t>7=4/1%-100</t>
  </si>
  <si>
    <t>8=5/2%-100</t>
  </si>
  <si>
    <t>просро-ченной, (+,-) в %</t>
  </si>
  <si>
    <t>Уд. веса просро-ченной, (+,-) % пунктов</t>
  </si>
  <si>
    <t>07 03. Дополнительное образование детей</t>
  </si>
  <si>
    <t>07 07. Молодежная политика</t>
  </si>
  <si>
    <t>10 03. Социальное обеспечение населения</t>
  </si>
  <si>
    <t xml:space="preserve"> - дошкольное образование (0701)</t>
  </si>
  <si>
    <t xml:space="preserve"> - общее образование (0702)</t>
  </si>
  <si>
    <t xml:space="preserve"> - дополнительное образование детей (0703)</t>
  </si>
  <si>
    <t xml:space="preserve"> - среднее профессиональное образование (0704)</t>
  </si>
  <si>
    <t xml:space="preserve"> - профессиональная подготовка, переподготовка и повышение квалификации (0705)</t>
  </si>
  <si>
    <t xml:space="preserve"> - молодежная политика (0707)</t>
  </si>
  <si>
    <t xml:space="preserve"> - прикладные научные исследования в области образования (0708)</t>
  </si>
  <si>
    <t xml:space="preserve"> - другие вопросы в области образования (0709)</t>
  </si>
  <si>
    <t xml:space="preserve"> - скорая медицинская помощь (0904)</t>
  </si>
  <si>
    <t>Образование (07), из них:</t>
  </si>
  <si>
    <t>иные</t>
  </si>
  <si>
    <t>дота-ции</t>
  </si>
  <si>
    <t>уд. вес.</t>
  </si>
  <si>
    <t>суб-вен-ции</t>
  </si>
  <si>
    <t>Рост, снижение в % к аналогичному периоду прошлого года</t>
  </si>
  <si>
    <t xml:space="preserve">  - единый сельскохозяйственный налог</t>
  </si>
  <si>
    <t xml:space="preserve"> - налог, взимаемый в связи с применением упрощенной системы налогообложения</t>
  </si>
  <si>
    <t xml:space="preserve"> - единый налог на вмененный доход для отдельных видов деятельности</t>
  </si>
  <si>
    <t xml:space="preserve">  - налог, взимаемый в связи с применением патентной системы налогообложения</t>
  </si>
  <si>
    <t xml:space="preserve"> +,- к прошлому периоду</t>
  </si>
  <si>
    <t>Налоги на совокупный доход, из них:</t>
  </si>
  <si>
    <t>Доходы от оказания платных услуг (работ) и компенсации затрат государства, из них:</t>
  </si>
  <si>
    <t>Приложение № 7</t>
  </si>
  <si>
    <t>Приложение № 10</t>
  </si>
  <si>
    <t>% выполнения к годовому плану</t>
  </si>
  <si>
    <t>Областной бюджет</t>
  </si>
  <si>
    <t>собствен-нные и ОМС</t>
  </si>
  <si>
    <t>на гос. задание</t>
  </si>
  <si>
    <t>на гос. и муниц. задание</t>
  </si>
  <si>
    <t>Остатки средств, с учетом в пути, без временного распоряжения</t>
  </si>
  <si>
    <t>собст-вен-нные и ОМС</t>
  </si>
  <si>
    <t>из них субсидии:</t>
  </si>
  <si>
    <t>Минстрой</t>
  </si>
  <si>
    <t>Минлеспром</t>
  </si>
  <si>
    <t>Минздрав</t>
  </si>
  <si>
    <t>Инспекция по памятникам</t>
  </si>
  <si>
    <t>Минкультуры</t>
  </si>
  <si>
    <t>Минсвязи</t>
  </si>
  <si>
    <t>Минобрнауки</t>
  </si>
  <si>
    <t>Минагропромторг</t>
  </si>
  <si>
    <t>Минтранс</t>
  </si>
  <si>
    <t>Минтрудсоцразвития</t>
  </si>
  <si>
    <t>Минимущество</t>
  </si>
  <si>
    <t>Агентство ГПС и ГЗ</t>
  </si>
  <si>
    <t>Агенство по спорту</t>
  </si>
  <si>
    <t>Администрация ГАО и ПАО</t>
  </si>
  <si>
    <t>Контрактное агентство</t>
  </si>
  <si>
    <t>Инспекция по ветнадзору</t>
  </si>
  <si>
    <t>Бюджетные</t>
  </si>
  <si>
    <t>Собствен-ные и ОМС</t>
  </si>
  <si>
    <t>06 04. Прикладные научные исследования в области охраны окружающей среды</t>
  </si>
  <si>
    <t>Безвозмедные поступления ВСЕГО, без вн. оборотов</t>
  </si>
  <si>
    <t>по счету 205.11 "Расчеты с плательщиками налоговых доходов" дебиторская задолженность, ф. 369, в тыс.руб.</t>
  </si>
  <si>
    <t>Утверждено</t>
  </si>
  <si>
    <t>по счету 205.21 "Расчеты по доходам от операционной аренды" дебиторская задолженность, ф. 369, в тыс.руб.</t>
  </si>
  <si>
    <t>по счету 205.41 "Расчеты по доходам от штрафных санкций за нарушение законодательства о закупках" дебиторская задолженность, ф. 369, в тыс.руб.</t>
  </si>
  <si>
    <t>по счету 205.71 Расчеты по доходам от операций с основными средствами" дебиторская задолженность, ф. 369, в тыс.руб.</t>
  </si>
  <si>
    <t>Акцизы, из них:</t>
  </si>
  <si>
    <t xml:space="preserve">  - акцизы на пиво</t>
  </si>
  <si>
    <t xml:space="preserve">  - доходы от уплаты акцизов на алкогольную продукцию с объемной долей этилового спирта свыше 9 процентов</t>
  </si>
  <si>
    <t xml:space="preserve"> - доходы от уплаты акцизов на дизельное топливо</t>
  </si>
  <si>
    <t xml:space="preserve"> - доходы от уплаты акцизов на моторные масла для дизельных и (или) карбюраторных (инжекторных) двигателей</t>
  </si>
  <si>
    <t xml:space="preserve"> - доходы от уплаты акцизов на автомобильный бензин</t>
  </si>
  <si>
    <t xml:space="preserve"> - доходы от уплаты акцизов на прямогонный бензин</t>
  </si>
  <si>
    <t xml:space="preserve"> - акцизы на средние дистилляты</t>
  </si>
  <si>
    <t>Результат исполнения (дефицит "-", 
профицит "+")</t>
  </si>
  <si>
    <t>по счету 302.25 "Расчеты по работам, услугам по содержанию имущества" кредиторская задолженность, ф. 369, в тыс.руб.</t>
  </si>
  <si>
    <t>изменение</t>
  </si>
  <si>
    <t>по счету 302.31 "Расчеты по приобретению основных средств" кредиторская задолженность, ф. 369, в тыс.руб.</t>
  </si>
  <si>
    <t>норматив НДФЛ</t>
  </si>
  <si>
    <t>Контингет НДФЛ</t>
  </si>
  <si>
    <t>НДФЛ без доп.норматива</t>
  </si>
  <si>
    <t>доп. норматив НДФЛ</t>
  </si>
  <si>
    <t>назначено</t>
  </si>
  <si>
    <t>в т.ч. Без доп. норматива НДФЛ</t>
  </si>
  <si>
    <t xml:space="preserve"> - санаторно-оздоровительная помощь (0905)</t>
  </si>
  <si>
    <t>Уменьшение прочих остатков средств бюджетов, временно размещенных в ценные бумаги</t>
  </si>
  <si>
    <t>по счету 205.23 "Расчеты по доходам от платежей при пользовании природными ресурсами" дебиторская задолженность, ф. 369, в тыс.руб.</t>
  </si>
  <si>
    <t>по счету 205.45 "Расчеты по доходам от прочих сумм принудительного изъятия" дебиторская задолженность, ф. 369, в тыс.руб.</t>
  </si>
  <si>
    <t>по счету 205.29 "Расчеты по иным доходам от собственности" дебиторская задолженность, ф. 369, в тыс.руб.</t>
  </si>
  <si>
    <t>по счету 205.31 "Расчеты по доходам от оказания платных услуг (работ)" дебиторская задолженность, ф. 369, в тыс.руб.</t>
  </si>
  <si>
    <t>Изменения</t>
  </si>
  <si>
    <t>по счету 205.35 "Расчеты по условным арендным платежам" дебиторская задолженность, ф. 369, в тыс.руб.</t>
  </si>
  <si>
    <t>по счету 302.23 "Расчеты по коммунальным услугам" кредиторская задолженность, ф. 369, в тыс.руб.</t>
  </si>
  <si>
    <t>ВСЕГО ДОХОДЫ из них:</t>
  </si>
  <si>
    <t>на иные цели</t>
  </si>
  <si>
    <t>05 02. Коммунальное хозяйство</t>
  </si>
  <si>
    <t>04.11. Прикладные научные исследования в области национальной экономики</t>
  </si>
  <si>
    <t>07.06. Высшее и послевузовское профессиональное образование</t>
  </si>
  <si>
    <t>всего тыс.руб.</t>
  </si>
  <si>
    <t>субсидии (911)</t>
  </si>
  <si>
    <t>субвенции (912)</t>
  </si>
  <si>
    <t>дотации (913)</t>
  </si>
  <si>
    <t>иные межбюд-жетные (914)</t>
  </si>
  <si>
    <t>ИТОГО</t>
  </si>
  <si>
    <t>Изменение</t>
  </si>
  <si>
    <t>205</t>
  </si>
  <si>
    <t>208</t>
  </si>
  <si>
    <t>302</t>
  </si>
  <si>
    <t>Расчеты по доходам</t>
  </si>
  <si>
    <t>Расчеты с подотчетными лицами</t>
  </si>
  <si>
    <t>Расчеты по принятым обязательствам</t>
  </si>
  <si>
    <t>Счет</t>
  </si>
  <si>
    <t>Расчеты по платежам в бюджеты</t>
  </si>
  <si>
    <t>(+,-) в %</t>
  </si>
  <si>
    <t>00</t>
  </si>
  <si>
    <t>Просроченная кредиторская, млн.руб.</t>
  </si>
  <si>
    <t>Кредиторская МО, в млн.руб.</t>
  </si>
  <si>
    <t>Расчеты с плательщиками налоговых доходов</t>
  </si>
  <si>
    <t>25</t>
  </si>
  <si>
    <t>Расчеты по работам, услугам по содержанию имущества</t>
  </si>
  <si>
    <t>31</t>
  </si>
  <si>
    <t>Расчеты по приобретению основных средств</t>
  </si>
  <si>
    <t>41</t>
  </si>
  <si>
    <t>96</t>
  </si>
  <si>
    <t>303</t>
  </si>
  <si>
    <t>Расчеты по страховым взносам на обязательное пенсионное страхование на выплату страховой части трудовой пенсии</t>
  </si>
  <si>
    <t>01</t>
  </si>
  <si>
    <t>Расчеты по налогу на доходы физических лиц</t>
  </si>
  <si>
    <t>07</t>
  </si>
  <si>
    <t>Расчеты по страховым взносам на обязательное медицинское страхование в Федеральный ФОМС</t>
  </si>
  <si>
    <t>Всего кредиторская задолженность местных бюджетов</t>
  </si>
  <si>
    <t>Расчеты по приобретению иных финансовых активов</t>
  </si>
  <si>
    <t>Расчеты по налогу на имущество организаций</t>
  </si>
  <si>
    <t>Кредиторская обл.бюджет</t>
  </si>
  <si>
    <t>Всего кредиторская задолженность областного бюджета</t>
  </si>
  <si>
    <t>(+,-) в % к прошломук периоду</t>
  </si>
  <si>
    <t>04.04. Воспроизводство минерально-сырьевой базы</t>
  </si>
  <si>
    <t>Обл.</t>
  </si>
  <si>
    <t>Итог</t>
  </si>
  <si>
    <t>по счету 205.89 Расчеты по иным доходам, ф. 369, в тыс.руб.</t>
  </si>
  <si>
    <t xml:space="preserve">иные </t>
  </si>
  <si>
    <t>Просроченная кредиторская в МО, млн.руб. по счету 302</t>
  </si>
  <si>
    <t>21</t>
  </si>
  <si>
    <t>22</t>
  </si>
  <si>
    <t>23</t>
  </si>
  <si>
    <t>24</t>
  </si>
  <si>
    <t>26</t>
  </si>
  <si>
    <t>34</t>
  </si>
  <si>
    <t>45</t>
  </si>
  <si>
    <t>51</t>
  </si>
  <si>
    <t>93</t>
  </si>
  <si>
    <t>95</t>
  </si>
  <si>
    <t>97</t>
  </si>
  <si>
    <t>Расчеты по услугам связи</t>
  </si>
  <si>
    <t>Расчеты по транспортным услугам</t>
  </si>
  <si>
    <t>Расчеты по коммунальным услугам</t>
  </si>
  <si>
    <t>Расчеты по арендной плате за пользование имуществом</t>
  </si>
  <si>
    <t>Расчеты по прочим работам, услугам</t>
  </si>
  <si>
    <t>Расчеты по приобретению материальных запасов</t>
  </si>
  <si>
    <t>Расчеты по безвозмездным перечислениям государственным (муниципальным) бюджетным и автономным учреждениям</t>
  </si>
  <si>
    <t>Расчеты по перечислениям другим бюджетам бюджетной системы Российской Федерации</t>
  </si>
  <si>
    <t>Расчеты по штрафам за нарушение законодательства о закупках и нарушение условий контрактов (договоров)</t>
  </si>
  <si>
    <t>Расчеты по другим экономическим санкциям</t>
  </si>
  <si>
    <t>Расчеты по иным выплатам текущего характера физическим лицам</t>
  </si>
  <si>
    <t>Расчеты по иным выплатам текущего характера организациям</t>
  </si>
  <si>
    <t>Расчеты по безвозмездным перечислениям текущего характера иным нефинансовым организациям (за исключением нефинансовых организаций государственного сектора) на производство</t>
  </si>
  <si>
    <t>измене-ние (+,-)</t>
  </si>
  <si>
    <t>Единый налог на вмененный доход для отдельных видов деятельности</t>
  </si>
  <si>
    <t>Единый сельскохозяйственный налог</t>
  </si>
  <si>
    <t xml:space="preserve"> - прикладные научные исследования в области национальной экономики (0411)</t>
  </si>
  <si>
    <t xml:space="preserve"> - заготовка, переработка, хранение и обеспечение безопасности донорской крови и ее компонентов (0906)</t>
  </si>
  <si>
    <t xml:space="preserve"> - пенсионное обеспечение (1001)</t>
  </si>
  <si>
    <t xml:space="preserve"> -  дотации на выравнивание бюджетной обеспеченности (1401)</t>
  </si>
  <si>
    <t xml:space="preserve"> - иные дотации (1402)</t>
  </si>
  <si>
    <t xml:space="preserve"> - прочие межбюджетные трансферты общего характера (1403)</t>
  </si>
  <si>
    <t>Возврат и предоставление бюджетных кредитов (оборот)</t>
  </si>
  <si>
    <t>Налог, взимаемый в связи с применением патентной системы налогообложения</t>
  </si>
  <si>
    <t>по счету 302.97 "Расчеты по иным выплатам текущего характера организациям" кредиторская задолженность, ф. 369, в тыс.руб.</t>
  </si>
  <si>
    <t>по счету 302.96 "Расчеты по иным выплатам текущего характера физическим лицам" кредиторская задолженность, ф. 369, в тыс.руб.</t>
  </si>
  <si>
    <t>Расчеты с подотчетными лицами по прочим несоциальным выплатам персоналу в денежной форме</t>
  </si>
  <si>
    <t>Расчеты с подотчетными лицами по прочим несоциальным выплатам персоналу в натуральной форме</t>
  </si>
  <si>
    <t>Расчеты по заработной плате</t>
  </si>
  <si>
    <t>46</t>
  </si>
  <si>
    <t>Расчеты по безвозмездным перечислениям текущего характера некоммерческим организациям и физическим лицам - производителям товаров, работ</t>
  </si>
  <si>
    <t>49</t>
  </si>
  <si>
    <t>Расчеты по безвозмездным перечислениям текущего характера нефинансовым организациям государственного сектора на продукцию</t>
  </si>
  <si>
    <t>75</t>
  </si>
  <si>
    <t>Расчеты по безвозмездным поступлениям текущего характера от других бюджетов бюджетной системы РФ</t>
  </si>
  <si>
    <t>Расчеты по поступлениям капитального характера от других бюджетов бюджетной системы Российской Федерации</t>
  </si>
  <si>
    <t>61</t>
  </si>
  <si>
    <t>4A</t>
  </si>
  <si>
    <t>Расчеты по безвозмездным перечислениям текущего характера  иным нефинансовым организациям (за исключением нефинансовых организаций государственного сектора) на продукцию</t>
  </si>
  <si>
    <t>42</t>
  </si>
  <si>
    <t>Расчеты по безвозмездным перечислениям финансовым организациям государственного сектора на производство</t>
  </si>
  <si>
    <t>(+,-)</t>
  </si>
  <si>
    <t>Налог на имущество организаций по имуществу, не входящему в Единую систему газоснабжения</t>
  </si>
  <si>
    <t>Транспортный налог с физических лиц</t>
  </si>
  <si>
    <t>Наибольшие суммы просроченной дебиторской в областной бюджет по счету 205.23, в млн.руб., по ф. 0503169</t>
  </si>
  <si>
    <t>Наибольшие суммы просроченной дебиторской в областной бюджет по счету 205.11, в млн.руб., по ф. 0503169</t>
  </si>
  <si>
    <t>Всего просроченная по счету 205.21, из нее:</t>
  </si>
  <si>
    <t>Наибольшие суммы просроченной дебиторской в областной бюджет по счету 205.21, в млн.руб., по ф. 0503169</t>
  </si>
  <si>
    <t>отклонение</t>
  </si>
  <si>
    <t>Расчеты по доходам, из нее наибольшая:</t>
  </si>
  <si>
    <t>Расчеты с подотчетными лицами, из нее наибольшая:</t>
  </si>
  <si>
    <t>Расчеты по принятым обязательствам, из нее наибольшая:</t>
  </si>
  <si>
    <t>Расчеты по платежам в бюджеты , из нее наибольшая:</t>
  </si>
  <si>
    <t>Расчеты по платежам в бюджеты, из нее наибольшая:</t>
  </si>
  <si>
    <t>Расчеты по безвозмездным перечислениям текущего характера  иным нефинансовым организациям (за исключением нефинансовых организаций государственного сектора) на производство</t>
  </si>
  <si>
    <t>Показатели на 01.01.2020 (руб.)</t>
  </si>
  <si>
    <t>Показатели на 01.01.2020 (млн.руб.)</t>
  </si>
  <si>
    <t>на 01.01.2020</t>
  </si>
  <si>
    <t>Внутренний долг на 01.01.2020</t>
  </si>
  <si>
    <t>Отклонение в безвозмездных</t>
  </si>
  <si>
    <t>Остатки на счетах бюджета (сч. 202.10 ф. 0503320), из них:</t>
  </si>
  <si>
    <t>Кас. План доход. ОБ</t>
  </si>
  <si>
    <t>Транспортный налог с организаций</t>
  </si>
  <si>
    <t>На 01.01.20</t>
  </si>
  <si>
    <t>Расчеты с подотчетными лицами по приобретению материальных запасов</t>
  </si>
  <si>
    <t>Расчеты по земельному налогу</t>
  </si>
  <si>
    <t>04</t>
  </si>
  <si>
    <t>Расчеты по налогу на добавленную стоимость</t>
  </si>
  <si>
    <t>Расчеты по доходам от платежей при пользовании природными ресурсами</t>
  </si>
  <si>
    <t>81</t>
  </si>
  <si>
    <t>Расчеты по невыясненным поступлениям</t>
  </si>
  <si>
    <t>Расчеты с подотчетными лицами по оплате прочих работ, услуг</t>
  </si>
  <si>
    <t>209</t>
  </si>
  <si>
    <t>Расчеты по ущербу и иным доходам</t>
  </si>
  <si>
    <t>Расчеты по ущербу и иным доходам, из нее наибольшая</t>
  </si>
  <si>
    <t>Расчеты по доходам от штрафных санкций за нарушение условий контрактов(договоров)</t>
  </si>
  <si>
    <t>Утверждено по отчету на 2020 год (руб.)</t>
  </si>
  <si>
    <t>Утверждено по отчету на 2020 год (млн.руб.)</t>
  </si>
  <si>
    <t>Рост, снижение к 2019 году, (+,-) в млн.руб.</t>
  </si>
  <si>
    <t>Рост, снижение к 2019 году, (+,-) в %</t>
  </si>
  <si>
    <t>Назначено на 2020</t>
  </si>
  <si>
    <t>(+,-) к 2019</t>
  </si>
  <si>
    <t>(+,-) в % к 2019</t>
  </si>
  <si>
    <t>Остатки средств на 01.01.2020 (баланс)</t>
  </si>
  <si>
    <t>результат по расчету - спрятать</t>
  </si>
  <si>
    <t>Результат исполнения (дефицит, профицит), согласно отчету ф. 317</t>
  </si>
  <si>
    <t>Изменение (+,-) в %</t>
  </si>
  <si>
    <t>Изменение (+,-), млн.руб.</t>
  </si>
  <si>
    <t>Всего, 
(+,-) в %</t>
  </si>
  <si>
    <t>Всего,
(+,-) в %</t>
  </si>
  <si>
    <t>Всего просроченная дебиторская по счету 205.23, из нее:</t>
  </si>
  <si>
    <t>Налог на прибыль организаций (за исключением консолидированных групп налогоплательщиков), зачисляемый в бюджеты субъектов РФ</t>
  </si>
  <si>
    <t>205.23 "Расчеты по доходам от платежей при пользовании природными ресурсами"</t>
  </si>
  <si>
    <t>Всего дебиторская задолженнось</t>
  </si>
  <si>
    <t>Дебиторская задолженность в областной бюджет</t>
  </si>
  <si>
    <t>Кредиторская задолженность по счету 401.40 "Доходы будущих периодов"</t>
  </si>
  <si>
    <t>Тогда дебиторская задолженность</t>
  </si>
  <si>
    <t>Из нее просроченная</t>
  </si>
  <si>
    <t>доходы от использования имущества, находящегося в собственности</t>
  </si>
  <si>
    <t>на 01.10.2020</t>
  </si>
  <si>
    <t>Межбюджетные трансферты из областного бюджета в бюджеты городских огругов и муниципальных районов за 2019 года и за 2020 годы, согласно отчету по ф. 0503317 "Таблица консолидируемых расчетов", представленному в Минфин России (код. 910, 911, 912, 913, 914)</t>
  </si>
  <si>
    <t>Изменение остатков за 9 мес. 2020</t>
  </si>
  <si>
    <t>расчет</t>
  </si>
  <si>
    <t>2020 год</t>
  </si>
  <si>
    <t>Налог, взимаемый в связи с применением упрощенной системы налогообложения (с 01.01.2021 отчисления в МО - 15,0%)</t>
  </si>
  <si>
    <t xml:space="preserve"> + в 2,4 раза</t>
  </si>
  <si>
    <t xml:space="preserve"> + в 2,7 раза</t>
  </si>
  <si>
    <t xml:space="preserve"> + в 2,5 раза</t>
  </si>
  <si>
    <t xml:space="preserve"> + в 2,6 раза</t>
  </si>
  <si>
    <t xml:space="preserve"> + в 2,3 раза</t>
  </si>
  <si>
    <t xml:space="preserve"> + в 2,1 раза</t>
  </si>
  <si>
    <t xml:space="preserve"> + в 4,4 раза</t>
  </si>
  <si>
    <t>РЕЗУЛЬТАТ ИСПОЛНЕНИЯ БЮДЖЕТОВ по отчету:                   дефицит (-),  профицит (+)</t>
  </si>
  <si>
    <t>по счету 205.44 Расчеты по доходам от возмещения ущерба имуществу (за исключением страховых возмещений)" дебиторская задолженность, ф. 369, в тыс.руб.</t>
  </si>
  <si>
    <t>по счету 205.27 "Расчеты по доходам от дивидендов от объектов инвестирования" дебиторская задолженность, ф. 369, в тыс.руб.</t>
  </si>
  <si>
    <t>по счету 302.11 "Расчеты по заработной плате" кредиторская задолженность, ф. 369, в тыс.руб.</t>
  </si>
  <si>
    <t>по счету 302.95 "Расчеты по другим экономическим санкциям" кредиторская задолженность, ф. 369, в тыс.руб.</t>
  </si>
  <si>
    <t>по счету 205.11 "Расчеты с плательщиками налогов" кредиторская задолженность, ф. 369, в тыс.руб. ВСЕГО</t>
  </si>
  <si>
    <t xml:space="preserve"> + в 3,2 раза</t>
  </si>
  <si>
    <t>Поддержка мер по обеспечению сбалансированности местных бюджетов</t>
  </si>
  <si>
    <t>Приложение № 5</t>
  </si>
  <si>
    <t>Приложение № 6</t>
  </si>
  <si>
    <t>в 2,2 раза</t>
  </si>
  <si>
    <t>в 2,0 раза</t>
  </si>
  <si>
    <t>Всего просроченная по счету 205.11, из нее наибольшая:</t>
  </si>
  <si>
    <t>Наибольшие суммы просроченной дебиторской в областной бюджет по счету 205.45, в млн.руб., по ф. 0503169</t>
  </si>
  <si>
    <t>Всего просроченная дебиторская по счету 205.45, из нее наибольшая:</t>
  </si>
  <si>
    <t>Расчеты по услугам, работам для целей капитальных вложений</t>
  </si>
  <si>
    <t>Областной</t>
  </si>
  <si>
    <t>Всего область</t>
  </si>
  <si>
    <t>ф. 369</t>
  </si>
  <si>
    <t>Дебиторская задолженность по ф. 0503369</t>
  </si>
  <si>
    <t>Тогда дебиторская задолженность по ф. 0503369</t>
  </si>
  <si>
    <t>Кредиторская задолженность по ф. 0503369</t>
  </si>
  <si>
    <r>
      <t xml:space="preserve">Соотношение дебиторской к кредиторской (норматив: </t>
    </r>
    <r>
      <rPr>
        <b/>
        <sz val="10"/>
        <color theme="1"/>
        <rFont val="Aharoni"/>
        <charset val="177"/>
      </rPr>
      <t>&gt;</t>
    </r>
    <r>
      <rPr>
        <b/>
        <sz val="10"/>
        <color theme="1"/>
        <rFont val="Arial"/>
        <family val="2"/>
        <charset val="204"/>
      </rPr>
      <t>0,9-1,0)</t>
    </r>
  </si>
  <si>
    <t>в тыс.руб.</t>
  </si>
  <si>
    <t>Доходы будующих периодов (сч. 401.40 - без внутренних оборотов) в составе кредиторской по ф. 0503369</t>
  </si>
  <si>
    <t>в 3,0 раза</t>
  </si>
  <si>
    <t>в 3,2 раза</t>
  </si>
  <si>
    <t>Исполнено за 2020 год (руб.)</t>
  </si>
  <si>
    <t>Исполнено за 2020 год (млн.руб.)</t>
  </si>
  <si>
    <t>На 01.01.2020</t>
  </si>
  <si>
    <t>На 01.10.2021</t>
  </si>
  <si>
    <t>Исполнено за 2019 год, млн.руб.</t>
  </si>
  <si>
    <t>Исполнено 2020 год, млн.руб.</t>
  </si>
  <si>
    <t>Показатели на 01.01.2021 (руб.)</t>
  </si>
  <si>
    <t>Показатели на 01.01.2021 (млн.руб.)</t>
  </si>
  <si>
    <t>на 01.01.2021</t>
  </si>
  <si>
    <t>Изменения за 2020 год (+,-)</t>
  </si>
  <si>
    <t>Исполнено за 2020 год</t>
  </si>
  <si>
    <t>Изменения 2020 год</t>
  </si>
  <si>
    <t>Изменения за 2020 год</t>
  </si>
  <si>
    <t>Всего за 2019 год (910)</t>
  </si>
  <si>
    <t>Всего за 2020 год (910)</t>
  </si>
  <si>
    <t>Исполнено за 2019 г.</t>
  </si>
  <si>
    <t>Исполнено за 2020 г.</t>
  </si>
  <si>
    <t>Остатки средств на 01.01.2021 (ф. 387 и баланс, сч. 202.10)</t>
  </si>
  <si>
    <t>Внутренний долг на 01.01.2021</t>
  </si>
  <si>
    <t>Исполнено за 2019</t>
  </si>
  <si>
    <t>Назначения минфином АО согласно инструкции поставлены (потому не идет результат исполнения), также и по другим бюджетам: Доходы+ поступления по источникам - согласно закону, а расходы+ выплаты по источникам - согласно росписи (п. 134 Инструкции №191н)</t>
  </si>
  <si>
    <t>в 4,5 раза</t>
  </si>
  <si>
    <t>в 7,9 раза</t>
  </si>
  <si>
    <t>в 37,6 раза</t>
  </si>
  <si>
    <t>в 588,2 раза</t>
  </si>
  <si>
    <t>в 4,6 раза</t>
  </si>
  <si>
    <t>в 10,7 раза</t>
  </si>
  <si>
    <t>в 8,7 раза</t>
  </si>
  <si>
    <t>в 9,8 раза</t>
  </si>
  <si>
    <t>в 5,3 раза</t>
  </si>
  <si>
    <t xml:space="preserve"> - в 5,0 раза</t>
  </si>
  <si>
    <t xml:space="preserve"> - в 4,2 раза</t>
  </si>
  <si>
    <t xml:space="preserve"> + в 17,0 раза</t>
  </si>
  <si>
    <t xml:space="preserve"> + в 3,5 раза</t>
  </si>
  <si>
    <t xml:space="preserve"> + в 5,9 раза</t>
  </si>
  <si>
    <t xml:space="preserve"> + в 7,2 раза</t>
  </si>
  <si>
    <t xml:space="preserve"> + в 2,2 раза</t>
  </si>
  <si>
    <t xml:space="preserve"> + в 3,0 раза</t>
  </si>
  <si>
    <t xml:space="preserve"> + в 5,8 раза</t>
  </si>
  <si>
    <t xml:space="preserve"> + в 2,8 раза</t>
  </si>
  <si>
    <t xml:space="preserve"> + в 2,0 раза</t>
  </si>
  <si>
    <t xml:space="preserve"> + в 6,2 раза</t>
  </si>
  <si>
    <t xml:space="preserve"> + в 4,8 раза</t>
  </si>
  <si>
    <t xml:space="preserve"> + в 8,2 раза</t>
  </si>
  <si>
    <t xml:space="preserve"> + в 7,3 раза</t>
  </si>
  <si>
    <t xml:space="preserve"> + в 4,5 раза</t>
  </si>
  <si>
    <t>2019 год</t>
  </si>
  <si>
    <t>Изменение внутреннего долга за 2020</t>
  </si>
  <si>
    <t>Изменение остатков за 2020 год</t>
  </si>
  <si>
    <t>Остатки средств на 01.01.2021</t>
  </si>
  <si>
    <t>Исполнено за 2019 год</t>
  </si>
  <si>
    <t>На 0.01.21</t>
  </si>
  <si>
    <t>На 0.01.2120</t>
  </si>
  <si>
    <t>Просроченная дебиторская задолженность (ф. 0503369)</t>
  </si>
  <si>
    <t>в 4,1 раза</t>
  </si>
  <si>
    <t>в 2,1 раза</t>
  </si>
  <si>
    <t>в 2,5 раза</t>
  </si>
  <si>
    <t>по счету 206.31 Расчеты по авансам по приобретению основных средств, ф. 369, в тыс.руб.</t>
  </si>
  <si>
    <t>по счету 209.41 Расчеты по доходам от штрафных санкций за нарушение условий контрактов (договоров), ф. 369, в тыс.руб.</t>
  </si>
  <si>
    <t>Дебиторская задолженность, ф. 369, в тыс.руб., исключен счет 205.51, 205,61 и 206.51 районы и города</t>
  </si>
  <si>
    <t>Кредиторская задолженность, ф. 369, в тыс.руб., исключен счет 205.51 (ГО и МР), 205.61 (ГО и МР) и 302.51 (МР) (с 2021 года, начало и конец года - средства исключаемые в ф. 369 - искать в ф. 425 по счету 303.05 (доходы по 2 19) - возврат целевых средств в бюджет. включая от поселений в МО и от МО в областной</t>
  </si>
  <si>
    <t>по счету 302.46 "Расчеты по безвозмездным перечислениям текущего характера некоммерческим организациям и физическим лицам - производителям товаров, работ" кредиторская задолженность, ф. 369, в тыс.руб.</t>
  </si>
  <si>
    <t>A1</t>
  </si>
  <si>
    <t>A3</t>
  </si>
  <si>
    <t>F2</t>
  </si>
  <si>
    <t>Благоустройство территорий городского округа "Город Архангельск"</t>
  </si>
  <si>
    <t>Благоустройство территорий и приобретение уборочной и коммунальной техники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</si>
  <si>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</si>
  <si>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R1</t>
  </si>
  <si>
    <t>Резервный фонд Правительства Архангельской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</si>
  <si>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</si>
  <si>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</si>
  <si>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 xml:space="preserve"> - плата за использование лесов, расположенных на землях лесного фонда, в части, превышающей минимальный размер платы по договору купли- продажи лесных насаждений</t>
  </si>
  <si>
    <t xml:space="preserve"> - плата за использование лесов, расположенных на землях лесного фонда, в части, превышающей минимальный размер арендной платы</t>
  </si>
  <si>
    <t xml:space="preserve"> - плата за использование лесов, расположенных на землях лесного фонда, в части платы по договору купли-продажи лесных насаждений для собственных нужд</t>
  </si>
  <si>
    <t>Единый налог на вмененный доход (с учетом за налоговые периоды, истекшие до 01.01.2011)</t>
  </si>
  <si>
    <t xml:space="preserve"> - 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</si>
  <si>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 xml:space="preserve"> - доходы от сдачи в аренду имущества, составляющего казну субъекта Российской Федерации (за исключением земельных участков)</t>
  </si>
  <si>
    <t xml:space="preserve"> - административные штрафы, установленные главой 19 КоАП РФ,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</si>
  <si>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 административные штрафы, установленные главой 20 КоАП РФ,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</si>
  <si>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в 5,5 раза</t>
  </si>
  <si>
    <t>в 3,7 раза</t>
  </si>
  <si>
    <t>На 01.01.21</t>
  </si>
  <si>
    <t>Сведения об исполнении консолидированного бюджета Архангельской области за 2019 и 2020 годы согласно отчетам по форме 0503317</t>
  </si>
  <si>
    <t>Налоговые и неналоговые доходы консолидированных бюджетов муниципальных образований Архангельской области за 2020 год согласно отчету по ф. 0503317</t>
  </si>
  <si>
    <t>Межбюджетные трансферты из областного бюджета в бюджеты городских округов и муниципальных районов за 2019 и 2020 годы согласно отчету по ф. 0503317 "Таблица консолидируемых расчетов"</t>
  </si>
  <si>
    <t>0503164G|Расходы|Адм</t>
  </si>
  <si>
    <t>0503164G|Расходы|РзПр</t>
  </si>
  <si>
    <t>0503164G|Расходы|ЦСР</t>
  </si>
  <si>
    <t xml:space="preserve">Наименование направления расходов </t>
  </si>
  <si>
    <t>Сводная бюджетная роспись на 31.12.2020</t>
  </si>
  <si>
    <t>Причины неисполнения</t>
  </si>
  <si>
    <t>Сводная бюджетная роспись на 31.12.2019</t>
  </si>
  <si>
    <t>млн.руб.</t>
  </si>
  <si>
    <t>% к сводной бюджетной росписи</t>
  </si>
  <si>
    <t>019</t>
  </si>
  <si>
    <t>Министерство строительства и архитектуры Архангельской области</t>
  </si>
  <si>
    <t>0113</t>
  </si>
  <si>
    <t>Резервные средства для реализации мероприятий, направленных на социально-экономическое развитие Архангельской области, источником финансового обеспечения которых является межбюджетный трансферт, предоставленный из бюджета города Москвы бюджету Архангельской области</t>
  </si>
  <si>
    <t>Отсутствие нормативных документов, определяющих порядок выделения и (или) использования средств бюджетов;</t>
  </si>
  <si>
    <t>Государственная программа Архангельской области "Обеспечение качественным, доступным жильем и объектами инженерной инфраструктуры населения Архангельской области"</t>
  </si>
  <si>
    <t>Подпрограмма "Создание условий для реализации государственной программы"</t>
  </si>
  <si>
    <t>0640270100</t>
  </si>
  <si>
    <t>Расходы на обеспечение деятельности подведомственных учреждений</t>
  </si>
  <si>
    <t>Нарушение подрядными организациями сроков исполнения и иных условий контрактов, не повлекшее судебные процедуры</t>
  </si>
  <si>
    <t>Государственная программа Архангельской области "Развитие образования и науки Архангельской области"</t>
  </si>
  <si>
    <t>Подпрограмма "Строительство и капитальный ремонт объектов инфраструктуры системы образования в Архангельской области"</t>
  </si>
  <si>
    <t>0701</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</si>
  <si>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120 мест в пос. Малошуйка Онежского района)</t>
  </si>
  <si>
    <t>Перечисление межбюджетных трансфертов в пределах сумм, необходимых для оплаты денежных обязательств по расходам получателей средств соответствующего бюджета</t>
  </si>
  <si>
    <t>0702</t>
  </si>
  <si>
    <t>Строительство и реконструкция объектов капитального строительства государственной собственности Архангельской области</t>
  </si>
  <si>
    <t>Оплата работ «по факту» на основании актов выполненных работ</t>
  </si>
  <si>
    <t>Государственная программа Архангельской области "Комплексное развитие сельских территорий Архангельской области"</t>
  </si>
  <si>
    <t>Подпрограмма "Создание и развитие инфраструктуры на сельских территориях"</t>
  </si>
  <si>
    <t>0801</t>
  </si>
  <si>
    <t>Софинансирование капитальных вложений в объекты муниципальной собственности муниципальных образований Архангельской области</t>
  </si>
  <si>
    <t>Поэтапная оплата работ в соответствии с условиями заключенных государственных контрактов</t>
  </si>
  <si>
    <t>045</t>
  </si>
  <si>
    <t>Министерство природных ресурсов и лесопромышленного комплекса Архангельской области</t>
  </si>
  <si>
    <t>Государственная программа Архангельской области "Охрана окружающей среды, воспроизводство и использование природных ресурсов Архангельской области"</t>
  </si>
  <si>
    <t>Подпрограмма "Охрана окружающей среды и обеспечение экологической безопасности Архангельской области"</t>
  </si>
  <si>
    <t>0603</t>
  </si>
  <si>
    <t>Мероприятия в сфере охраны окружающей среды, осуществляемые государственными органами</t>
  </si>
  <si>
    <t>Подпрограмма "Воспроизводство и использование природных ресурсов"</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</si>
  <si>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52-ФЗ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</si>
  <si>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Порядок по расходованию субвенции
 не обозначены конкретные условия по  реализации мероприятий (письмо Росприроднадзора от 22.04.2011 № КТ-06-02-27/4868)</t>
  </si>
  <si>
    <t>075</t>
  </si>
  <si>
    <t>Министерство образования и науки Архангельской области</t>
  </si>
  <si>
    <t>Подпрограмма "Содержание, обучение, воспитание и социальное обеспечение детей-сирот и детей, оставшихся без попечения родителей, лиц из числа детей-сирот и детей, оставшихся без попечения родителей, детей с ограниченными возможностями здоровья"</t>
  </si>
  <si>
    <t>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 597, от 1 июня 2012 года № 761, от 28 декабря 2012 года № 1688</t>
  </si>
  <si>
    <t>По причине организации образовательного процесса с использованием дистанционных образовательных технологий в общеобразовательных организациях, имеющих интернат</t>
  </si>
  <si>
    <t>090</t>
  </si>
  <si>
    <t>Министерство финансов Архангельской области</t>
  </si>
  <si>
    <t>Консолидация в областном бюджете бюджетных средств, сэкономленных государственными заказчиками Архангельской области при осуществлении закупок товаров, работ, услуг для государственных нужд Архангельской области</t>
  </si>
  <si>
    <t>Сумма консолидации в областном бюджете сэкономленных по результатам конкурсных процедур средств</t>
  </si>
  <si>
    <t>Министерство экономического развития Архангельской области</t>
  </si>
  <si>
    <t>Государственная программа Архангельской области "Экономическое развитие и инвестиционная деятельность в Архангельской области"</t>
  </si>
  <si>
    <t>Подпрограмма "Совершенствование системы управления экономическим развитием Архангельской области"</t>
  </si>
  <si>
    <t>Прочие выплаты по обязательствам государства</t>
  </si>
  <si>
    <t>Причиной является нарушение исполнителем сроков исполнения и иных условий контракта, ведется досудебная претензионная работа</t>
  </si>
  <si>
    <t>156</t>
  </si>
  <si>
    <t>Министерство труда, занятости и социального развития Архангельской области</t>
  </si>
  <si>
    <t>Государственная программа Архангельской области "Социальная поддержка граждан в Архангельской области"</t>
  </si>
  <si>
    <t>Подпрограмма "Организация работы по социальному обслуживанию граждан и социальной защите населения в Архангельской области"</t>
  </si>
  <si>
    <t>1004</t>
  </si>
  <si>
    <t>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 120-ФЗ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</si>
  <si>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Заявительный характер выплаты пособий и компенсаций</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</si>
  <si>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 за счет средств областного бюджета</t>
  </si>
  <si>
    <t>1006</t>
  </si>
  <si>
    <t>Мероприятия в сфере социальной политики, осуществляемые государственными органами</t>
  </si>
  <si>
    <t>Отсутствие потребности</t>
  </si>
  <si>
    <t>176</t>
  </si>
  <si>
    <t>Агентство государственной противопожарной службы и гражданской защиты  Архангельской области</t>
  </si>
  <si>
    <t>Государственная программа Архангельской области "Защита населения и территорий Архангельской области от чрезвычайных ситуаций, обеспечение пожарной безопасности и безопасности на водных объектах"</t>
  </si>
  <si>
    <t>Подпрограмма "Снижение рисков и смягчение последствий чрезвычайных ситуаций межмуниципального и регионального характера, а также обеспечение безопасности людей на водных объектах в Архангельской области"</t>
  </si>
  <si>
    <t>0309</t>
  </si>
  <si>
    <t>Мероприятия в сфере гражданской обороны и защиты населения и территорий Архангельской области от чрезвычайных ситуаций, осуществляемые подведомственными учреждениями</t>
  </si>
  <si>
    <t>Резервные средства на предупреждение и ликвидацию чрезвычайных ситуаций природного и техногенного характера (продукты питания)</t>
  </si>
  <si>
    <t>Причины низкого уровня исполнения</t>
  </si>
  <si>
    <t>Государственная программа Архангельской области "Развитие инфраструктуры Соловецкого архипелага"</t>
  </si>
  <si>
    <t>0408</t>
  </si>
  <si>
    <t>200V753860</t>
  </si>
  <si>
    <t>Реализация программы "Гражданская авиация и аэронавигационное обслуживание" государственной программы Российской Федерации "Развитие транспортной системы"</t>
  </si>
  <si>
    <t>Экономия, сложившаяся по результатам выполнения работ</t>
  </si>
  <si>
    <t>0502</t>
  </si>
  <si>
    <t>2000170300</t>
  </si>
  <si>
    <t>Подпрограмма "Создание условий для обеспечения доступным и комфортным жильем жителей Архангельской области</t>
  </si>
  <si>
    <t>0610170300</t>
  </si>
  <si>
    <t>0505</t>
  </si>
  <si>
    <t>0611776580</t>
  </si>
  <si>
    <t>Выполнение работ по демонтажу объектов капитального строительства в связи с осуществлением мероприятий по предотвращению и ликвидации последствий чрезвычайных ситуаций</t>
  </si>
  <si>
    <t>0501</t>
  </si>
  <si>
    <t>0705</t>
  </si>
  <si>
    <t>0640170010</t>
  </si>
  <si>
    <t>Расходы на содержание государственных органов и обеспечение их функций</t>
  </si>
  <si>
    <t>Адресная программа Архангельской области "Переселение граждан из аварийного жилищного фонда на 2019 – 2025 годы"</t>
  </si>
  <si>
    <t>510F367483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</si>
  <si>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Фонда содействия реформированию жилищно-коммунального хозяйства</t>
  </si>
  <si>
    <t>510F367484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</si>
  <si>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t>
  </si>
  <si>
    <t>02710R1590</t>
  </si>
  <si>
    <t>0271170100</t>
  </si>
  <si>
    <t>0272370310</t>
  </si>
  <si>
    <t>0272570300</t>
  </si>
  <si>
    <t>0273070310</t>
  </si>
  <si>
    <t>027P25159F</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</si>
  <si>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</si>
  <si>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027P252323</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</si>
  <si>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в г. Мезени)</t>
  </si>
  <si>
    <t>027P252329</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</si>
  <si>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60 мест в г. Няндома)</t>
  </si>
  <si>
    <t>0272970300</t>
  </si>
  <si>
    <t>027E155200</t>
  </si>
  <si>
    <t>Создание новых мест в общеобразовательных организациях</t>
  </si>
  <si>
    <t>Государственная программа Архангельской области "Развитие здравоохранения Архангельской области"</t>
  </si>
  <si>
    <t>Подпрограмма "Совершенствование системы территориального планирования Архангельской области"</t>
  </si>
  <si>
    <t>0901</t>
  </si>
  <si>
    <t>01БN452460</t>
  </si>
  <si>
    <t>Новое строительство или реконструкция детских больниц (корпусов)</t>
  </si>
  <si>
    <t>0902</t>
  </si>
  <si>
    <t>01Б4270300</t>
  </si>
  <si>
    <t>Государственная программа Архангельской области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t>
  </si>
  <si>
    <t>Подпрограмма "Спорт Беломорья. Спорт высших достижений и подготовка спортивного резерва"</t>
  </si>
  <si>
    <t>1102</t>
  </si>
  <si>
    <t>1116870310</t>
  </si>
  <si>
    <t>1117870300</t>
  </si>
  <si>
    <t>111P554950</t>
  </si>
  <si>
    <t>Реализация федеральной целевой программы "Развитие физической культуры и спорта в Российской Федерации на 2016 - 2020 годы"</t>
  </si>
  <si>
    <t>023</t>
  </si>
  <si>
    <t>Министерство топливно-энергетического комплекса и жилищно-коммунального хозяйства Архангельской области</t>
  </si>
  <si>
    <t>Государственная программа Архангельской области "Развитие энергетики и жилищно-коммунального хозяйства Архангельской области"</t>
  </si>
  <si>
    <t>Подпрограмма "Энергосбережение и повышение энергетической эффективности в Архангельской области"</t>
  </si>
  <si>
    <t>1710376640</t>
  </si>
  <si>
    <t>Разработка проектно-сметной документации для строительства и реконструкции (модернизации) объектов питьевого водоснабжения</t>
  </si>
  <si>
    <t>Государственная программа Архангельской области "Развитие лесного комплекса Архангельской области"</t>
  </si>
  <si>
    <t>Подпрограмма "Обеспечение использования лесов"</t>
  </si>
  <si>
    <t>0407</t>
  </si>
  <si>
    <t>1510270710</t>
  </si>
  <si>
    <t>Выполнение функций государственными органами в области лесных отношений</t>
  </si>
  <si>
    <t>Экономия, сложившаяся по результатам проведения конкурсных процедур</t>
  </si>
  <si>
    <t>Подпрограмма "Обеспечение реализации государственной программы Архангельской области "Развитие лесного комплекса Архангельской области"</t>
  </si>
  <si>
    <t>1540370710</t>
  </si>
  <si>
    <t>1011770740</t>
  </si>
  <si>
    <t>0605</t>
  </si>
  <si>
    <t>1012871640</t>
  </si>
  <si>
    <t>Ликвидация несанкционированных свалок Архангельской области</t>
  </si>
  <si>
    <t>1013276610</t>
  </si>
  <si>
    <t>Обустройство объектов размещения твердых коммунальных отходов</t>
  </si>
  <si>
    <t>062</t>
  </si>
  <si>
    <t>Министерство здравоохранения Архангельской области</t>
  </si>
  <si>
    <t>Подпрограмма "Совершенствование системы лекарственного обеспечения, в том числе в амбулаторных условиях"</t>
  </si>
  <si>
    <t>0183051610</t>
  </si>
  <si>
    <t>Реализация отдельных полномочий в области лекарственного обеспечения</t>
  </si>
  <si>
    <t>0183054600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</si>
  <si>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</si>
  <si>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0183058430</t>
  </si>
  <si>
    <t>Приобретение лекарственных препаратов для лечения пациентов с новой коронавирусной инфекцией (COVID-19), получающих медицинскую помощь в амбулаторных условиях</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</si>
  <si>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</si>
  <si>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0904</t>
  </si>
  <si>
    <t>0121170460</t>
  </si>
  <si>
    <t>Мероприятия в сфере здравоохранения</t>
  </si>
  <si>
    <t>Подпрограмма "Охрана здоровья матери и ребенка"</t>
  </si>
  <si>
    <t>0141676040</t>
  </si>
  <si>
    <t>Обеспечение полноценным питанием беременных женщин, кормящих матерей и детей в возрасте до трех лет</t>
  </si>
  <si>
    <t>Государственная программа Архангельской области "Развитие транспортной системы Архангельской области"</t>
  </si>
  <si>
    <t>Подпрограмма "Повышение безопасности дорожного движения в Архангельской области"</t>
  </si>
  <si>
    <t>0909</t>
  </si>
  <si>
    <t>196R37667Д</t>
  </si>
  <si>
    <t>Модернизация нерегулируемых пешеходных переходов, светофорных объектов и установка светофорных объектов, пешеходных ограждений на автомобильных дорогах общего пользования местного значения (дорожный фонд Архангельской области)</t>
  </si>
  <si>
    <t>Инспекция по охране объектов культурного наследия Архангельской области</t>
  </si>
  <si>
    <t>Государственная программа Архангельской области "Культура Русского Севера"</t>
  </si>
  <si>
    <t>0400175010</t>
  </si>
  <si>
    <t>Мероприятия по реализации мер государственной охраны и популяризации объектов культурного наследия (памятников истории и культуры) народов Российской Федерации, расположенных на территории Архангельской области</t>
  </si>
  <si>
    <t>0804</t>
  </si>
  <si>
    <t>0400359500</t>
  </si>
  <si>
    <t>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года N 73-ФЗ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t>
  </si>
  <si>
    <t>Наличие остатков в связи с применением регрессивной шкалы по страховым взносам</t>
  </si>
  <si>
    <t>072</t>
  </si>
  <si>
    <t>Министерство связи и информационных технологий Архангельской области</t>
  </si>
  <si>
    <t>Государственная программа Архангельской области "Цифровое развитие Архангельской области"</t>
  </si>
  <si>
    <t>2720370010</t>
  </si>
  <si>
    <t>Подпрограмма "Развитие общего и дополнительного образования"</t>
  </si>
  <si>
    <t>0703</t>
  </si>
  <si>
    <t>0211976570</t>
  </si>
  <si>
    <t>0212674080</t>
  </si>
  <si>
    <t>Грант в форме субсидии на возмещение ФГАОУ ВО "Северный (Арктический) федеральный университет имени М.В. Ломоносова" затрат, понесенных в связи с созданием условий для обучения основам программирования и информационных технологий обучающихся общеобразовательных организаций в Архангельской области</t>
  </si>
  <si>
    <t>021E254910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</si>
  <si>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</si>
  <si>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0210178330</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</si>
  <si>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</si>
  <si>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0212276600</t>
  </si>
  <si>
    <t>Организация бесплатного горячего питания обучающихся, получающих начальное общее образование в муниципальных образовательных организациях Архангельской области, которым не предусмотрено федеральное софинансирование</t>
  </si>
  <si>
    <t>02122R3040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</si>
  <si>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</si>
  <si>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0221352600</t>
  </si>
  <si>
    <t>Выплата единовременного пособия при всех формах устройства детей, лишенных родительского попечения, в семью</t>
  </si>
  <si>
    <t>Государственная программа Архангельской области "Управление государственными финансами и государственным долгом Архангельской области"</t>
  </si>
  <si>
    <t>Подпрограмма "Организация и обеспечение бюджетного процесса и развитие информационных систем управления финансами в Архангельской области"</t>
  </si>
  <si>
    <t>1403</t>
  </si>
  <si>
    <t>2210478240</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</si>
  <si>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t>
  </si>
  <si>
    <t>104</t>
  </si>
  <si>
    <t>Министерство транспорта Архангельской области</t>
  </si>
  <si>
    <t>Подпрограмма "Проведение сбалансированной государственной тарифной политики на транспорте"</t>
  </si>
  <si>
    <t>1910373040</t>
  </si>
  <si>
    <t>Компенсация организациям железнодорожного транспорта потерь в доходах, возникающих в результате предоставления 50-процентной скидки на проезд железнодорожным транспортом общего пользования в поездах пригородного сообщения учащимся и воспитанникам образовательных организаций старше семи лет, студентам (курсантам), обучающимся по очной форме обучения в профессиональных образовательных организациях и образовательных организациях высшего образования</t>
  </si>
  <si>
    <t>Фактическое возмещение недополученных доходов, связанных с государственным регулированием тарифов на перевозки пассажиров, в соответствии с представленными отчетами перевозчиков</t>
  </si>
  <si>
    <t>Подпрограмма "Развитие общественного пассажирского транспорта и транспортной инфраструктуры Архангельской области"</t>
  </si>
  <si>
    <t>1920470750</t>
  </si>
  <si>
    <t>1921870750</t>
  </si>
  <si>
    <t>1922076790</t>
  </si>
  <si>
    <t>0409</t>
  </si>
  <si>
    <t>192097031Д</t>
  </si>
  <si>
    <t>Софинансирование капитальных вложений в объекты муниципальной собственности муниципальных образований Архангельской области (дорожный фонд Архангельской области)</t>
  </si>
  <si>
    <t>Часть выполненных работ не приняты администрацией городского округа Архангельской области «Северодвинск»</t>
  </si>
  <si>
    <t>192317330Д</t>
  </si>
  <si>
    <t>Субсидии, за исключением субсидий на софинансирование капитальных вложений в объекты государственной (муниципальной) собственности</t>
  </si>
  <si>
    <t>По причине погодных условий подрядчиком не выполнены запланированные работы по ремонту моста через реку Етчугу в деревне Окуловская Верхнетоемского муниципального района Архангельской области. Работы по ремонту будут продолжены в 2021 году</t>
  </si>
  <si>
    <t>Подпрограмма "Развитие и совершенствование сети автомобильных дорог общего пользования регионального значения"</t>
  </si>
  <si>
    <t>193047030Д</t>
  </si>
  <si>
    <t>Строительство и реконструкция объектов капитального строительства государственной собственности Архангельской области (дорожный фонд Архангельской области)</t>
  </si>
  <si>
    <t>Неисполнение государственного контракта на разработку проектной документации ввиду нарушения подрядной организацией сроков производства работ по государственному контракту</t>
  </si>
  <si>
    <t>Подпрограмма "Улучшение эксплуатационного состояния автомобильных дорог общего пользования регионального значения за счет ремонта, капитального ремонта и содержания"</t>
  </si>
  <si>
    <t>194087321Д</t>
  </si>
  <si>
    <t>Капитальный ремонт, ремонт и содержание региональных автомобильных дорог (дорожный фонд Архангельской области)</t>
  </si>
  <si>
    <t>Не завершена разработка проектной документации на капитальный ремонт мостов через реки Пукса и Хима на км 33+323 и км 33+771 автомобильной дороги Кочмас – Тарасово – Церковное, на капитальный ремонт моста через руч. Гавшина на км 93+713 автомобильной дороги Шангалы – Квазеньга – Кизема, на ремонт моста чрез реку Вохтомица на км 28+913 автомобильной дороги Коноша - Няндома в связи с нарушением подрядной организацией сроков завершения работ в рамках заключенных государственных контрактов</t>
  </si>
  <si>
    <t>194147321Д</t>
  </si>
  <si>
    <t>194167321Д</t>
  </si>
  <si>
    <t>Подпрограмма "Создание условий для реализации государственной программы и осуществления иных расходов"</t>
  </si>
  <si>
    <t>195037010Д</t>
  </si>
  <si>
    <t>Расходы на обеспечение деятельности подведомственных учреждений (дорожный фонд Архангельской области)</t>
  </si>
  <si>
    <t>В связи с остатком невостребованных средств на командировочные расходы</t>
  </si>
  <si>
    <t>196017324Д</t>
  </si>
  <si>
    <t>Выявление и сокращение количества мест концентрации дорожно-транспортных происшествий на дорогах Архангельской области (дорожный фонд Архангельской области)</t>
  </si>
  <si>
    <t>Государственная программа Архангельской области "Содействие занятости населения Архангельской области, улучшение условий и охраны труда"</t>
  </si>
  <si>
    <t>Подпрограмма "Активная политика занятости и социальная поддержка безработных граждан (2014 - 2024 годы)"</t>
  </si>
  <si>
    <t>0401</t>
  </si>
  <si>
    <t>0710672020</t>
  </si>
  <si>
    <t>Реализация мероприятий активной политики в сфере занятости населения</t>
  </si>
  <si>
    <t>Создание рабочих мест было затруднено в связи ограничительными мероприятиями, связанными с недопущением распространения новой коронавирусной инфекции.</t>
  </si>
  <si>
    <t>0710772020</t>
  </si>
  <si>
    <t>Фактически предоставленные работодателями документы на выплату компенсации, изменение планируемых сроков трудоустройства в период ограничительных мероприятий</t>
  </si>
  <si>
    <t>0710872020</t>
  </si>
  <si>
    <t>0710972020</t>
  </si>
  <si>
    <t>0711372020</t>
  </si>
  <si>
    <t>0711658520</t>
  </si>
  <si>
    <t>Иные межбюджетные трансферты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</si>
  <si>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0711758520</t>
  </si>
  <si>
    <t>Подпрограмма "Повышение мобильности трудовых ресурсов (2015 - 2022 годы)"</t>
  </si>
  <si>
    <t>07501R4780</t>
  </si>
  <si>
    <t>Реализация дополнительных мероприятий в сфере занятости населения</t>
  </si>
  <si>
    <t>Подпрограмма "Содействие занятости инвалидов, в том числе инвалидов молодого возраста при получении ими профессионального образования и последующем трудоустройстве, а также инвалидов, нуждающихся в сопровождаемом содействии их занятости (2018 - 2024 годы)"</t>
  </si>
  <si>
    <t>0770172020</t>
  </si>
  <si>
    <t>0770372020</t>
  </si>
  <si>
    <t>Подпрограмма "Меры социальной поддержки отдельным категориям граждан, проживающим на территории Архангельской области"</t>
  </si>
  <si>
    <t>1003</t>
  </si>
  <si>
    <t>03208R0070</t>
  </si>
  <si>
    <t>Выплата региональных социальных доплат к пенсии</t>
  </si>
  <si>
    <t>Уменьшение численности получателей выплат, пособий и компенсаций по сравнению с запланированной</t>
  </si>
  <si>
    <t>0321552700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</si>
  <si>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</si>
  <si>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0322677360</t>
  </si>
  <si>
    <t>Выплаты многодетным семьям взамен предоставления им земельных участков</t>
  </si>
  <si>
    <t>0310370540</t>
  </si>
  <si>
    <t>163</t>
  </si>
  <si>
    <t>Министерство имущественных отношений Архангельской области</t>
  </si>
  <si>
    <t>Государственная программа Архангельской области "Развитие имущественно-земельных отношений Архангельской области"</t>
  </si>
  <si>
    <t>2100170030</t>
  </si>
  <si>
    <t>2101370010</t>
  </si>
  <si>
    <t>Подпрограмма "Построение (развитие), внедрение и эксплуатация аппаратно-программного комплекса "Безопасный город" в Архангельской области"</t>
  </si>
  <si>
    <t>0940770510</t>
  </si>
  <si>
    <t>Мероприятия в сфере национальной безопасности и правоохранительной деятельности, осуществляемые подведомственными учреждениями</t>
  </si>
  <si>
    <t>Подпрограмма "Пожарная безопасность в Архангельской области"</t>
  </si>
  <si>
    <t>0310</t>
  </si>
  <si>
    <t>0911076630</t>
  </si>
  <si>
    <t>Оборудование источников наружного противопожарного водоснабжения</t>
  </si>
  <si>
    <t>301</t>
  </si>
  <si>
    <t>Администрация Губернатора Архангельской области и Правительства Архангельской области</t>
  </si>
  <si>
    <t>Государственная программа Архангельской области "Совершенствование государственного управления и местного самоуправления, развитие институтов гражданского общества в Архангельской области"</t>
  </si>
  <si>
    <t>Развитие отдельных направлений системы государственного управления Архангельской области</t>
  </si>
  <si>
    <t>0104</t>
  </si>
  <si>
    <t>1670670030</t>
  </si>
  <si>
    <t>Подпрограмма "Молодежь Архангельской области"</t>
  </si>
  <si>
    <t>0707</t>
  </si>
  <si>
    <t>1122170420</t>
  </si>
  <si>
    <t>Мероприятия в сфере патриотического воспитания граждан и государственной молодежной политики</t>
  </si>
  <si>
    <t>1122370420</t>
  </si>
  <si>
    <t>Подпрограмма "Обеспечение жильем молодых семей"</t>
  </si>
  <si>
    <t>0620178510</t>
  </si>
  <si>
    <t>Реализация мероприятий по обеспечению жильем молодых семей</t>
  </si>
  <si>
    <t>0620370540</t>
  </si>
  <si>
    <t>311</t>
  </si>
  <si>
    <t>Избирательная комиссия Архангельской области</t>
  </si>
  <si>
    <t>0107</t>
  </si>
  <si>
    <t>6320071150</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</si>
  <si>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</si>
  <si>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435</t>
  </si>
  <si>
    <t>Агентство по организационному обеспечению деятельности мировых судей Архангельской области</t>
  </si>
  <si>
    <t>1670370010</t>
  </si>
  <si>
    <t>ф.0503127</t>
  </si>
  <si>
    <t>Приложение № ___</t>
  </si>
  <si>
    <t>Изменения расходов областного бюджета в разрезе разделов функциональной классификации расходов бюджетов, главных распорядителей средств областного бюджета и видов расходов классификации расходов бюджета за 2020 год</t>
  </si>
  <si>
    <t>Наименование показателя</t>
  </si>
  <si>
    <t>Исполнение</t>
  </si>
  <si>
    <t xml:space="preserve">Изменения, </t>
  </si>
  <si>
    <t>Основные причины изменения</t>
  </si>
  <si>
    <t xml:space="preserve"> 2020 год</t>
  </si>
  <si>
    <t>ОБЩЕГОСУДАРСТВЕННЫЕ ВОПРОСЫ</t>
  </si>
  <si>
    <t>в том числе</t>
  </si>
  <si>
    <t>минфин Архангельской области</t>
  </si>
  <si>
    <t>Межбюджетные трансферты</t>
  </si>
  <si>
    <t xml:space="preserve">Дотации на премирование победителей Всероссийского конкурса "Лучшая муниципальная практика" </t>
  </si>
  <si>
    <t>165055399R; 1650553990</t>
  </si>
  <si>
    <t>Избирательная комиссия АО</t>
  </si>
  <si>
    <t>Иные бюджетные ассигнования</t>
  </si>
  <si>
    <t>Проведение выборов Губернатора Архангельской области -  164,79 млн.руб. Подготовка и проведении общероссийского голосования по вопросу одобрения изменений в Конституцию Российской Федерации -105,81 млн.руб.</t>
  </si>
  <si>
    <t>6330071170; 6340070010; 635W058530; 635W058570; 635W071190; 6700071400</t>
  </si>
  <si>
    <t>НАЦИОНАЛЬНАЯ ОБОРОНА</t>
  </si>
  <si>
    <t>НАЦИОНАЛЬНАЯ БЕЗОПАСНОСТЬ И ПРАВООХРАНИТЕЛЬНАЯ ДЕЯТЕЛЬНОСТЬ</t>
  </si>
  <si>
    <t>НАЦИОНАЛЬНАЯ ЭКОНОМИКА</t>
  </si>
  <si>
    <t>в том числе:</t>
  </si>
  <si>
    <t xml:space="preserve">минлеспром АО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</si>
  <si>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</si>
  <si>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подведомственных учреждений (лесничества)</t>
  </si>
  <si>
    <t>Закупка товаров, работ и услуг для обеспечения государственных (муниципальных) нужд</t>
  </si>
  <si>
    <t>Осуществление отдельных полномочий в области лесных отношений</t>
  </si>
  <si>
    <t>Предоставление субсидий бюджетным, автономным учреждениям и иным некоммерческим организациям</t>
  </si>
  <si>
    <t>Увеличение площади лесовосстановления (ГАУ АО «Единый лесопожарный центр»)</t>
  </si>
  <si>
    <t>152GА54290</t>
  </si>
  <si>
    <t>минсвязь АО</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</si>
  <si>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(дорожный фонд Архангельской области)</t>
  </si>
  <si>
    <t>196R25418Д</t>
  </si>
  <si>
    <t>минтранс АО</t>
  </si>
  <si>
    <t>Закупка товаров, работ и услуг для государственных (муниципальных) нужд</t>
  </si>
  <si>
    <t>Обеспечение дорожной деятельности в рамках реализации национального проекта "Безопасные и качественные автомобильные дороги"</t>
  </si>
  <si>
    <t>197R153930; 197R15393Д</t>
  </si>
  <si>
    <t>Капитальный ремонт, ремонт и содержание региональных автомобильных дорог</t>
  </si>
  <si>
    <t>Капитальный ремонт, ремонт и содержание региональных автомобильных дорог Все по Пр 0409</t>
  </si>
  <si>
    <t>Обеспечение дорожной деятельности за счет резервного фонда Правительства Российской Федерации</t>
  </si>
  <si>
    <t>194165390F</t>
  </si>
  <si>
    <t>Капитальные вложения в объекты государственной (муниципальной) собственности</t>
  </si>
  <si>
    <t>Строительство и реконструкция автомобильных дорог общего пользования с твердым покрытием, ведущих от сети автомобильных дорог общего пользования к общественно значимым объектам населенных пунктов, расположенных на сельских территориях, объектам производства и переработки продукции</t>
  </si>
  <si>
    <t>25302R3720</t>
  </si>
  <si>
    <t>Ремонт автомобильных дорог общего пользования местного значения в муниципальных районах и городских округах Архангельской области (дорожный фонд Архангельской области)</t>
  </si>
  <si>
    <t>192057875Д</t>
  </si>
  <si>
    <t>Ремонт и содержание автомобильных дорог общего пользования местного значения в муниципальном образовании "Город Архангельск"</t>
  </si>
  <si>
    <t>Иные межбюджетные трансферты на финансовое обеспечение дорожной деятельности</t>
  </si>
  <si>
    <t>192095390F; 19209R390Д; 1922478830; 197R158560</t>
  </si>
  <si>
    <t>ЖИЛИЩНО-КОММУНАЛЬНОЕ ХОЗЯЙСТВО</t>
  </si>
  <si>
    <t>минстрой АО</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</si>
  <si>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</si>
  <si>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510F367483; 510F367484; 5120009502; 5120009602; 512F309502; 512F309602</t>
  </si>
  <si>
    <t>Реконструкция зданий жилищного фонда города Мирный Архангельской области</t>
  </si>
  <si>
    <t>06101R5120</t>
  </si>
  <si>
    <t>Переселение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</si>
  <si>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Реконструкция канализационных очистных сооружений (КОС) в пос. Октябрьский Устьянского района</t>
  </si>
  <si>
    <t>25305R5763</t>
  </si>
  <si>
    <t>министерство ТЭК и ЖКХ АО</t>
  </si>
  <si>
    <t>130F254240</t>
  </si>
  <si>
    <t>Возмещение недополученных доходов, возникающих в результате государственного регулирования тарифов на электрическую и тепловую энергию, государственного регулирования розничных цен на топливо твердое и на холодную воду и водоотведение для населения и потребителей, приравненных к населению, сжиженный газ, реализуемый для бытовых нужд населения</t>
  </si>
  <si>
    <t>1730173500; 1730173510; 1730173520; 1730173530; 1730173540</t>
  </si>
  <si>
    <t>минлеспром АО</t>
  </si>
  <si>
    <t>Возмещение недополученных доходов, возникающих в результате государственного регулирования тарифов в области обращения с твердыми коммунальными отходами - 89,91 млн.руб. и обеспечение деятельности по оказанию коммунальной услуги населению по обращению с твердыми коммунальными отходами - 107,96 млн.руб.</t>
  </si>
  <si>
    <t>1013171620; 101G252680</t>
  </si>
  <si>
    <t>ОХРАНА ОКРУЖАЮЩЕЙ СРЕДЫ</t>
  </si>
  <si>
    <t>ОБРАЗОВАНИЕ</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</si>
  <si>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на 220 мест в г. Вельске - 215,7 млн.руб.;  на 220 мест в г. Мезени - 123,8 млн.руб.; на 220 мест в микрорайоне Южный г. Котласа - 195,33 млн.руб.; на 280 мест в округе Варавино-Фактория города Архангельска- 271,0 млн.руб.;  на 280 мест в округе Майская горка г. Архангельска - 217,50 млн.руб.; на 60 мест в г. Няндома - 79,0 млн.руб.;  на 60 мест в пос. Боброво Приморского района - 88,7 млн.руб.; на 60 мест в пос. Курцево Котласского района - 68,05 млн.руб.)</t>
  </si>
  <si>
    <r>
      <t>027З252322;027З252323; 027З252324;027З252326; 027З252327</t>
    </r>
    <r>
      <rPr>
        <u/>
        <sz val="10"/>
        <color theme="1"/>
        <rFont val="Arial"/>
        <family val="2"/>
        <charset val="204"/>
      </rPr>
      <t xml:space="preserve"> </t>
    </r>
    <r>
      <rPr>
        <sz val="10"/>
        <color theme="1"/>
        <rFont val="Arial"/>
        <family val="2"/>
        <charset val="204"/>
      </rPr>
      <t>027З252329; 027Р25232А; 027Р25232Б</t>
    </r>
  </si>
  <si>
    <t>02710R1590; 027P251590; 027P25159F</t>
  </si>
  <si>
    <t>Строительство детского сада на 280 мест в 7 микрорайоне территориального округа Майская горка города Архангельска</t>
  </si>
  <si>
    <t>0610570310; 0610570310</t>
  </si>
  <si>
    <t>Строительство школы на 860 мест в территориальном  округе Варавино-Фактория г. Архангельска</t>
  </si>
  <si>
    <t>027E155200; 0270570310</t>
  </si>
  <si>
    <t>Строительство начальной общеобразовательной школы на 320 учащихся в с. Ильинско-Подомское Вилегодского района</t>
  </si>
  <si>
    <t>Строительство школы на 860 мест в г. Котласе</t>
  </si>
  <si>
    <t>0611170310; 061F150210</t>
  </si>
  <si>
    <t>Строительство объекта "Средняя общеобразовательная школа на 352 учащихся с интернатом на 80 мест в пос. Шалакуша Няндомского района"</t>
  </si>
  <si>
    <t>25305R5764</t>
  </si>
  <si>
    <t>минобрнауки АО</t>
  </si>
  <si>
    <t>Внедрение целевой модели цифровой образовательной среды в общеобразовательных организациях</t>
  </si>
  <si>
    <t>024E452101; 024E452102</t>
  </si>
  <si>
    <t>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 761 "О Национальной стратегии действий в интересах детей на 2012 - 2017 годы"</t>
  </si>
  <si>
    <t>Индексация фонда оплаты труда педагогических работников с целью необходимости достижения индикаторов, установленных в соответствии с указами Президента Российской Федерации, а также индексацией оплаты труда остальных работников образовательных организаций.</t>
  </si>
  <si>
    <t>Капитальный ремонт общеобразовательных организаций</t>
  </si>
  <si>
    <t>0271878180; 0272178180</t>
  </si>
  <si>
    <t>Благоустройство зданий государственных и муниципальных общеобразовательных организаций, в том числе в целях соблюдения требований к воздушно-тепловому режиму, водоснабжению и канализации</t>
  </si>
  <si>
    <t>0273276680; 02733R2550</t>
  </si>
  <si>
    <t>Капитальный ремонт муниципальных дошкольных образовательных организаций</t>
  </si>
  <si>
    <t>Обеспечение деятельности учреждений подведомственных министерству образования и науки Архангельской области.</t>
  </si>
  <si>
    <t>КУЛЬТУРА, КИНЕМАТОГРАФИЯ</t>
  </si>
  <si>
    <t>минкультуры АО</t>
  </si>
  <si>
    <t>Обеспечение деятельности учреждений подведомственных министерству культуры Архангельской области</t>
  </si>
  <si>
    <t>Капитальный ремонт Катунинского сельского Дома культуры в пос. Катунино Приморского района</t>
  </si>
  <si>
    <t>25305R5769</t>
  </si>
  <si>
    <t>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 597 "О мероприятиях по реализации государственной социальной политики"</t>
  </si>
  <si>
    <t>ЗДРАВООХРАНЕНИЕ</t>
  </si>
  <si>
    <t>Строительство объекта «Лечебно-диагностический корпус государственного бюджетного учреждения здравоохранения Архангельской области «Архангельская областная детская клиническая больница имени П.Г. Выжлецова»</t>
  </si>
  <si>
    <t>Строительство здания участковой больницы на 40 посещений и стационаром на 10 коек в поселке Соловецкий</t>
  </si>
  <si>
    <t>20016R1110; 2001670300</t>
  </si>
  <si>
    <t>Обеспечение комплексного развития сельских территорий (строительство терапевтического отделения на 20 коек круглосуточного стационара и 10 коек дневного стационара ГБУЗ Архангельской области "Красноборская центральная районная больница" в с. Красноборск Красноборского района)</t>
  </si>
  <si>
    <t>25305R5767</t>
  </si>
  <si>
    <t>Создание и замена фельдшерских, фельдшерско-акушерских пунктов и врачебных амбулаторий для населенных пунктов с численностью населения от 100 до 2000 человек</t>
  </si>
  <si>
    <t>01БN151960</t>
  </si>
  <si>
    <t>Строительство и реконструкция объектов капитального строительства государственной собственности Архангельской области (фельдшерско-акушерский пункты)</t>
  </si>
  <si>
    <t>минздрав АО</t>
  </si>
  <si>
    <t>Социальное обеспечение и иные выплаты населению</t>
  </si>
  <si>
    <t>Обеспечение лекарственными препаратами, медицинскими изделиями и специализированными продуктами лечебного питания отдельных групп населения.</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</si>
  <si>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</si>
  <si>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018N255860</t>
  </si>
  <si>
    <t>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t>
  </si>
  <si>
    <t>01Б7858410</t>
  </si>
  <si>
    <t>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за счет средств федерального бюджета.</t>
  </si>
  <si>
    <t>012N351900</t>
  </si>
  <si>
    <t>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</si>
  <si>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01Б6458320</t>
  </si>
  <si>
    <t>Выплаты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группы риска заражения новой коронавирусной инфекцией</t>
  </si>
  <si>
    <t>01Б6458300</t>
  </si>
  <si>
    <t>На реализацию регионального проекта «Создание единого цифрового контура в здравоохранении на основе единой государственной информационной системы в сфере здравоохранения Архангельской области»</t>
  </si>
  <si>
    <t>019N751140</t>
  </si>
  <si>
    <t>Выплаты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коронавирусная инфекция</t>
  </si>
  <si>
    <t>01Б6458330</t>
  </si>
  <si>
    <t>Расходы, связанные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резервного фонда Правительства Российской Федерации</t>
  </si>
  <si>
    <t>01Б6458360</t>
  </si>
  <si>
    <t>Дополнительные выплаты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</si>
  <si>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01Б6458480</t>
  </si>
  <si>
    <t>Финансовое обеспечение мероприятий по борьбе с новой коронавирусной инфекцией (COVID-2019)</t>
  </si>
  <si>
    <t>01Б6458440</t>
  </si>
  <si>
    <t>Обеспечение деятельности учреждений подведомственных минздраву АО</t>
  </si>
  <si>
    <t>СОЦИАЛЬНАЯ ПОЛИТИКА</t>
  </si>
  <si>
    <t>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t>
  </si>
  <si>
    <t>01Б5878990</t>
  </si>
  <si>
    <t>минтрудсоцразвития АО</t>
  </si>
  <si>
    <t>Обеспечение деятельности учреждений подведомственных минтрудсоцразвитю АО</t>
  </si>
  <si>
    <t>Социальные выплаты безработным гражданам</t>
  </si>
  <si>
    <t>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t>
  </si>
  <si>
    <t>03114R8340</t>
  </si>
  <si>
    <t>Осуществление ежемесячной выплаты в связи с рождением (усыновлением) первого ребенка</t>
  </si>
  <si>
    <t>032P155730</t>
  </si>
  <si>
    <t>Ежемесячные денежные выплаты ветеранам труда</t>
  </si>
  <si>
    <t>Cоциальные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за счет средств резервного фонда Правительства Российской Федерации</t>
  </si>
  <si>
    <t>071105290F</t>
  </si>
  <si>
    <t xml:space="preserve">Осуществление ежемесячной денежной выплаты на ребенка в возрасте от 3 до 7 лет включительно </t>
  </si>
  <si>
    <t>03207R3020; 03207R302F</t>
  </si>
  <si>
    <t>Предоставление единовременных разовых денежных выплат отдельным категориям граждан, проживающих (пребывающих) на территории Архангельской области, в связи с 75-летием Победы в Великой Отечественной войне 1941 - 1945 годов</t>
  </si>
  <si>
    <t>ФИЗИЧЕСКАЯ КУЛЬТУРА И СПОРТ</t>
  </si>
  <si>
    <t>Строительство крытого универсального легкоатлетического манежа в г. Архангельске - 8,00 млн.руб; Многоцелевого физкультурно-оздоровительного объекта (хоккейная арена "Ледовый дворец") в г. Коряжма - 33,73 млн.руб.; спортивного зала ГБНОУ АО "АГЛ имени М.В. Ломоносова" по адресу: г. Архангельск, Набережная северной двины, д. 25 - 10,78 млн.руб.</t>
  </si>
  <si>
    <t>1117570300; 111P554950</t>
  </si>
  <si>
    <t>Строительство лыжной базы в г. Северодвинске Архангельской области 60,93 млн.руб.,и завершение строительства физкультурно-оздоровительного комплекса в территориальном округе Варавино-Фактория г. Архангельска -66,72 млн.руб.</t>
  </si>
  <si>
    <t>111Р554950</t>
  </si>
  <si>
    <t>агентство по спорту АО</t>
  </si>
  <si>
    <t>Обеспечение деятельности учреждений подведомственных агентству по спорту АО.</t>
  </si>
  <si>
    <t>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</si>
  <si>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111P550810</t>
  </si>
  <si>
    <t>Обеспечение комплексного развития сельских территорий (благоустройство общественно-спортивной площадки по адресу: Архангельская область, Красноборский район, с. Красноборск, ул. Пролетарская, д. 1а)</t>
  </si>
  <si>
    <t>25305R5768</t>
  </si>
  <si>
    <t>Оснащение объектов спортивной инфраструктуры спортивно-технологическим оборудованием</t>
  </si>
  <si>
    <t>111P552280</t>
  </si>
  <si>
    <t>СРЕДСТВА МАССОВОЙ ИНФОРМАЦИИ</t>
  </si>
  <si>
    <t>ОБСЛУЖИВАНИЕ ГОСУДАРСТВЕННОГО И МУНИЦИПАЛЬНОГО ДОЛГА</t>
  </si>
  <si>
    <t>Обслуживание государственного (муниципального) долга</t>
  </si>
  <si>
    <t>Рост объема и уровня государственного долга обусловлены недопоступлением в областной бюджет собственных доходов, вызванным снижением налогооблагаемой базы в условиях нестабильности на сырьевых рынках, распространения коронавирусной инфекции и влияния данной ситуации на экономическую активность.</t>
  </si>
  <si>
    <t>МЕЖБЮДЖЕТНЫЕ ТРАНСФЕРТЫ ОБЩЕГО ХАРАКТЕРА БЮДЖЕТАМ СУБЪЕКТОВ РОССИЙСКОЙ ФЕДЕРАЦИИ И МУНИЦИПАЛЬНЫХ ОБРАЗОВАНИЙ</t>
  </si>
  <si>
    <t>Софинансирование вопросов местного значения</t>
  </si>
  <si>
    <t>Раздел</t>
  </si>
  <si>
    <t>Под-раз-дел</t>
  </si>
  <si>
    <t>Исполнено за 2016 год</t>
  </si>
  <si>
    <t>Исполнено за 2017 год</t>
  </si>
  <si>
    <t>Исполнено за 2018 год</t>
  </si>
  <si>
    <t>Отклонение 2020 год к 2019 году</t>
  </si>
  <si>
    <t>выплаты персона-лу</t>
  </si>
  <si>
    <t>закупки</t>
  </si>
  <si>
    <t>прочие расходы</t>
  </si>
  <si>
    <t>300 - 800</t>
  </si>
  <si>
    <t>Ит ого</t>
  </si>
  <si>
    <t>300 и 800</t>
  </si>
  <si>
    <t>Б</t>
  </si>
  <si>
    <t>В</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</si>
  <si>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</si>
  <si>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</si>
  <si>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</si>
  <si>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</si>
  <si>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</si>
  <si>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</si>
  <si>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</si>
  <si>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Другие общегосударственные вопросы</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</si>
  <si>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</si>
  <si>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</si>
  <si>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</si>
  <si>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Общеэкономические вопросы</t>
  </si>
  <si>
    <t>Топливно-энергетический комплекс</t>
  </si>
  <si>
    <t>Сельское хозяйство и рыболовство</t>
  </si>
  <si>
    <t>Транспорт</t>
  </si>
  <si>
    <t>Связь и информатика</t>
  </si>
  <si>
    <t>Другие вопросы в области национальной экономики</t>
  </si>
  <si>
    <t>Жилищно-коммунальное хозяйство</t>
  </si>
  <si>
    <t>Другие вопросы в области жилищно-коммунального хозяйства</t>
  </si>
  <si>
    <t>Образование</t>
  </si>
  <si>
    <t>Профессиональная подготовка, переподготовка и повышение квалификации</t>
  </si>
  <si>
    <t>Другие вопросы в области образования</t>
  </si>
  <si>
    <t>Культура, кинематография</t>
  </si>
  <si>
    <t>Другие вопросы в области культуры, кинематографии</t>
  </si>
  <si>
    <t>Здравоохранение</t>
  </si>
  <si>
    <t>Другие вопросы в области здравоохранения</t>
  </si>
  <si>
    <t>Физическая культура и спорт</t>
  </si>
  <si>
    <t>Другие вопросы в области физической культуры и спорта</t>
  </si>
  <si>
    <t>Средства массовой информации</t>
  </si>
  <si>
    <t>Другие вопросы в области средств массовой информации</t>
  </si>
  <si>
    <t>сумма</t>
  </si>
  <si>
    <t>Выполнение планов финансово-хозяйственной деятельности государственных, муниципальных бюджетных и автономных учреждений за 2020 год согласно отчетам по ф. 0503779 и 0503737</t>
  </si>
  <si>
    <t>Выполнение планов финансово-хозяйственной деятельности государственных бюджетных и автономных учреждений за 2020 год, в разрезе главных распорядителей согласно отчетам по ф. 0503779 и 0503737</t>
  </si>
  <si>
    <t>Расходы областного бюджета на реализацию региональных проектов за 2020 год</t>
  </si>
  <si>
    <t>Код</t>
  </si>
  <si>
    <t>Всего расходы</t>
  </si>
  <si>
    <t>Контрактуемые расходы (ВР 240, 400)</t>
  </si>
  <si>
    <t>Социальное обеспечение и иные выплаты населению (ВР 300)</t>
  </si>
  <si>
    <t>Субсидии бюджетным, автономным учреждениям и НКО (ВР 600)</t>
  </si>
  <si>
    <t>Межбюджетные трансферты (ВР 500)</t>
  </si>
  <si>
    <t>Другие расходы (ВР 800)</t>
  </si>
  <si>
    <t>% исполнения</t>
  </si>
  <si>
    <t>Национальная программа "Цифровая экономика Российской Федерации"</t>
  </si>
  <si>
    <t>D</t>
  </si>
  <si>
    <t>Региональный проект "Информационная безопасность"</t>
  </si>
  <si>
    <t>D4</t>
  </si>
  <si>
    <t>Региональный проект "Цифровое государственное управление"</t>
  </si>
  <si>
    <t>D6</t>
  </si>
  <si>
    <t>Министерство культуры Архангельской области</t>
  </si>
  <si>
    <t>069</t>
  </si>
  <si>
    <t>Национальный проект "Демография"</t>
  </si>
  <si>
    <t>P</t>
  </si>
  <si>
    <t>Региональный проект "Финансовая поддержка семей при рождении детей"</t>
  </si>
  <si>
    <t>P1</t>
  </si>
  <si>
    <t>Региональный проект "Содействие занятости женщин - создание условий дошкольного образования для детей в возрасте до трех лет"</t>
  </si>
  <si>
    <t>P2</t>
  </si>
  <si>
    <t>Региональный проект "Разработка и реализация программы системной поддержки и повышения качества жизни граждан старшего поколения"</t>
  </si>
  <si>
    <t>P3</t>
  </si>
  <si>
    <t>Региональный проект "Создание для всех категорий и групп населения условий для занятий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t>
  </si>
  <si>
    <t>P5</t>
  </si>
  <si>
    <t>Агентство по спорту Архангельской области</t>
  </si>
  <si>
    <t>263</t>
  </si>
  <si>
    <t>Национальный проект "Малое и среднее предпринимательство и поддержка индивидуальной предпринимательской инициативы"</t>
  </si>
  <si>
    <t>I</t>
  </si>
  <si>
    <t>Региональный проект "Расширение доступа субъектов малого и среднего предпринимательства к финансовым ресурсам, в том числе к льготному финансированию"</t>
  </si>
  <si>
    <t>I4</t>
  </si>
  <si>
    <t>138</t>
  </si>
  <si>
    <t>Региональный проект "Акселерация субъектов малого и среднего предпринимательства"</t>
  </si>
  <si>
    <t>I5</t>
  </si>
  <si>
    <t>Региональный проект "Создание системы поддержки фермеров и развитие сельской кооперации"</t>
  </si>
  <si>
    <t>I7</t>
  </si>
  <si>
    <t>Министерство агропромышленного комплекса и торговли Архангельской области</t>
  </si>
  <si>
    <t>083</t>
  </si>
  <si>
    <t>Региональный проект "Популяризация предпринимательства"</t>
  </si>
  <si>
    <t>I8</t>
  </si>
  <si>
    <t>Национальный проект "Экология"</t>
  </si>
  <si>
    <t>G</t>
  </si>
  <si>
    <t>Региональный проект "Комплексная система обращения с твердыми коммунальными отходами"</t>
  </si>
  <si>
    <t>G2</t>
  </si>
  <si>
    <t>Региональный проект "Чистая вода"</t>
  </si>
  <si>
    <t>G5</t>
  </si>
  <si>
    <t>Региональный проект "Сохранение лесов"</t>
  </si>
  <si>
    <t>GA</t>
  </si>
  <si>
    <t>Комплексный план модернизации и расширения магистральной инфраструктуры</t>
  </si>
  <si>
    <t>V</t>
  </si>
  <si>
    <t>Региональный проект "Развитие региональных аэропортов и маршрутов"</t>
  </si>
  <si>
    <t>V7</t>
  </si>
  <si>
    <t>Национальный проект "Безопасные и качественные автомобильные дороги"</t>
  </si>
  <si>
    <t>R</t>
  </si>
  <si>
    <t>Региональный проект "Программа комплексного развития объединенной дорожной сети Архангельской области, Архангельской агломерации"</t>
  </si>
  <si>
    <t>Региональный проект "Общесистемные меры развития дорожного хозяйства"</t>
  </si>
  <si>
    <t>R2</t>
  </si>
  <si>
    <t>Федеральный проект "Безопасность дорожного движения"</t>
  </si>
  <si>
    <t>R3</t>
  </si>
  <si>
    <t>Национальный проект "Жилье и городская среда"</t>
  </si>
  <si>
    <t>F</t>
  </si>
  <si>
    <t>Региональный проект "Жилье"</t>
  </si>
  <si>
    <t>F1</t>
  </si>
  <si>
    <t>Региональный проект "Формирование комфортной городской среды"</t>
  </si>
  <si>
    <t>Региональный проект "Обеспечение устойчивого сокращения непригодного для проживания жилищного фонда"</t>
  </si>
  <si>
    <t>F3</t>
  </si>
  <si>
    <t>Национальный проект "Образование"</t>
  </si>
  <si>
    <t>E</t>
  </si>
  <si>
    <t>Региональный проект "Современная школа"</t>
  </si>
  <si>
    <t>E1</t>
  </si>
  <si>
    <t>Региональный проект "Успех каждого ребенка"</t>
  </si>
  <si>
    <t>E2</t>
  </si>
  <si>
    <t>Региональный проект "Поддержка семей, имеющих детей"</t>
  </si>
  <si>
    <t>E3</t>
  </si>
  <si>
    <t>Региональный проект "Цифровая образовательная среда"</t>
  </si>
  <si>
    <t>E4</t>
  </si>
  <si>
    <t>Региональный проект "Молодые профессионалы (Повышение конкурентоспособности профессионального образования)"</t>
  </si>
  <si>
    <t>E6</t>
  </si>
  <si>
    <t>Региональный проект "Социальная активность"</t>
  </si>
  <si>
    <t>E8</t>
  </si>
  <si>
    <t>Национальный проект "Культура"</t>
  </si>
  <si>
    <t>A</t>
  </si>
  <si>
    <t xml:space="preserve">Региональный проект Обеспечение качественно нового уровня развития инфраструктуры культуры («Культурная среда») </t>
  </si>
  <si>
    <t>Региональный проект "Цифровизация услуг и формирование информационного пространства в сфере культуры («Цифровая культура»)</t>
  </si>
  <si>
    <t>Национальный проект "Здравоохранение"</t>
  </si>
  <si>
    <t>N</t>
  </si>
  <si>
    <t>Региональный проект "Развитие системы оказания первичной медико-санитарной помощи"</t>
  </si>
  <si>
    <t>N1</t>
  </si>
  <si>
    <t>Региональный проект "Борьба с сердечно-сосудистыми заболеваниями"</t>
  </si>
  <si>
    <t>N2</t>
  </si>
  <si>
    <t>Региональный проект "Борьба с онкологическими заболеваниями"</t>
  </si>
  <si>
    <t>N3</t>
  </si>
  <si>
    <t>Региональный проект "Развитие детского здравоохранения, включая создание современной инфраструктуры оказания медицинской помощи детям"</t>
  </si>
  <si>
    <t>N4</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</si>
  <si>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</si>
  <si>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N7</t>
  </si>
  <si>
    <t>Осуществление государственным казенным учреждением Архангельской области "Главное управление капитального строительства" государственных функций технического заказчика по объектам капитального строительства, а также оплата услуг по охране, коммунальных услуг и других платежей по жилым помещениям, заказчиком работ по которым является учреждение, и земельным участкам, на которые зарегистрировано право постоянного бессрочного пользования</t>
  </si>
  <si>
    <t>По договору изготовлены два ценных приза для награждения победителей конкурса «Лучшее предприятие лесного комплекса Архангельской области» (постановление  администрации Архангельской области от 12.12.2007 № 207-па)</t>
  </si>
  <si>
    <t>Фактически сложившиеся расходы</t>
  </si>
  <si>
    <t>Представленный подрядчиком пакет документов не соответствует требованиям подпункта 1.3.12 Приложения № 1 к государственному контракту от 02.06.2020 № 10</t>
  </si>
  <si>
    <t>Выписка лекарственных препаратов льготным категориям граждан осуществлена до конца 2020 года</t>
  </si>
  <si>
    <t>Позднее поступление федеральных средств, нарушение сроков поставки лекарственных препаратов. Поставщикам выставлены претензии</t>
  </si>
  <si>
    <t>Отсутствие потребности, перечисление целевой субсидии текущего характера в указанной сумме не осуществлялось</t>
  </si>
  <si>
    <t>Неиспользованные  средства по обучению на курсах повышения квалификации</t>
  </si>
  <si>
    <t>Организация перевозок пассажиров автомобильным транспортом в междугородном и пригородном сообщении</t>
  </si>
  <si>
    <t>Организация буксирных перевозок организованных групп людей внутренним водным транспортом в период весеннего ледохода и осеннего ледостава на межмуниципальном маршруте "Хабарка- Выселки"</t>
  </si>
  <si>
    <t>В связи с установившимися низкими температурами воздуха пешеходная ледовая переправа была открыта сразу после образования прочного ледяного покрова на реке Северная Двина, и необходимость в буксирных перевозках отсутствовала</t>
  </si>
  <si>
    <t>Проведение изысканий по определению возможности и условий установки понтонной переправы через р. Онега (между населенными пунктами Машалиха (Амосовская) и Грибановская) в Онежском муниципальном районе</t>
  </si>
  <si>
    <t>Разработка проектной документации на капитальный ремонт и ремонт мостов</t>
  </si>
  <si>
    <t>Оформление права оперативного управления региональными автомобильными дорогами или их участками и постоянного (бессрочного) пользования на земельные участки под региональными автомобильными дорогами в рамках обеспечения сохранности региональных автомобильных дорог</t>
  </si>
  <si>
    <t>Содействие трудоустройству незанятых многодетных родителей, родителей, воспитывающих детей-инвалидов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</si>
  <si>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 психологической поддержки безработных граждан, в том числе длительно не работавших</t>
  </si>
  <si>
    <t>Профессиональное обучение и дополнительное образование безработных граждан, включая обучение в другой местности; женщин в период отпуска по уходу за ребенком до достижения им возраста трех лет; незанятых граждан, которым в соответствии с законодательством Российской Федерации назначена трудовая пенсия по старости и которые стремятся возобновить трудовую</t>
  </si>
  <si>
    <t>Снижение численности безработных граждан, приступивших к обучению связано с тем, что в период ограничительных мероприятий по предупреждению распространения новой коронавирусной инфекции образовательные организации ограничили обучение по очной форме, сократилась численность безработных граждан, желающих пройти профессиональное обучение, дополнительное образование, а дистанционные формы применимы не по всем направлениям обучения</t>
  </si>
  <si>
    <t>Организация содействия безработным гражданам в переезде и безработным гражданам и членам их семей в переселении в другую местность для трудоустройства по направлению центров занятости населения</t>
  </si>
  <si>
    <t>Изменение сроков трудоустройства в период ограничительных мероприятий и предоставлением гражданами  документов, подтверждающих произведенные расходы</t>
  </si>
  <si>
    <t>Изменение сроков трудоустройства в период ограничительных мероприятий и предоставлением работодателем  документов, подтверждающих произведенные расходы</t>
  </si>
  <si>
    <t>Снижение возможности трудоустройства граждан их других регионов в связи с введением ограничительных мероприятий, связанных с недопущением распространения новой коронавирусной инфекции</t>
  </si>
  <si>
    <t>Содействие трудоустройству незанятых инвалидов, в том числе инвалидов молодого возраста на созданные (оснащенные) для них рабочие места</t>
  </si>
  <si>
    <t>Отклонение обусловлено фактически предоставленными работодателями документами на выплату компенсации</t>
  </si>
  <si>
    <t>Организация наставничества при адаптации инвалида на рабочем месте</t>
  </si>
  <si>
    <t xml:space="preserve">Признаны несостоявшимися торги по продаже 12 объектов недвижимости, включенных в прогнозный план приватизации государственного имущества Архангельской области на 2020 год </t>
  </si>
  <si>
    <t>Более медленные, чем планировалось, темпы реализации проектов, в том числе в рамках соглашений с международными финансовыми организациями</t>
  </si>
  <si>
    <t>Муниципальный контракт Каргопольского муниципального округа Архангельской области  администрацией данного округа исполнен частично в связи с массовой и продолжительной болезнью работников подрядной организации, а также действующими ограничениями, введенными по недопущению распространения новой коронавирусной инфекции (COVID-2019)</t>
  </si>
  <si>
    <t>Реализация проектов и программ по профилактике асоциальных проявлений в молодежной среде</t>
  </si>
  <si>
    <t>Непроведение очных обучающих мероприятий в рамках повышения правовой культуры участников избирательного процесса по причине санитарно-эпидемиологической обстановки</t>
  </si>
  <si>
    <t>Информация о низком уровне исполнения расходов (менее 90 %) в 2020 году по отдельным направлениям расходов</t>
  </si>
  <si>
    <t>Глава</t>
  </si>
  <si>
    <t>2018 год</t>
  </si>
  <si>
    <t>Сводная бюджетная роспись на 2018 год по состоянию на 31.12.2018</t>
  </si>
  <si>
    <t>Доведено финансирование на 31.12.2018</t>
  </si>
  <si>
    <t>Исполнено на 31.12.2018</t>
  </si>
  <si>
    <t>Процент исполнения</t>
  </si>
  <si>
    <r>
      <t xml:space="preserve">Показатели программы </t>
    </r>
    <r>
      <rPr>
        <sz val="8"/>
        <color theme="1"/>
        <rFont val="Arial"/>
        <family val="2"/>
        <charset val="204"/>
      </rPr>
      <t>(федеральный и областной бюджет)</t>
    </r>
  </si>
  <si>
    <t>Сводная бюджетная роспись на 2019 год по состоянию на 31.12.2019</t>
  </si>
  <si>
    <t>Доведено финансирование на 31.12.2019</t>
  </si>
  <si>
    <t>Исполнено на 31.12.2019</t>
  </si>
  <si>
    <t>Уровень исполнения</t>
  </si>
  <si>
    <t>Значение оценки эффективности реализации ГП АО</t>
  </si>
  <si>
    <t>Сводная бюджетная роспись на 2020 год по состоянию на 31.12.2020</t>
  </si>
  <si>
    <t>Доведено финансирование на 31.12.2020</t>
  </si>
  <si>
    <t>Исполнено на 31.12.2020</t>
  </si>
  <si>
    <t>к сводной бюджетной росписи на 2018 год</t>
  </si>
  <si>
    <t>к доведенному финансированию на 2018 года</t>
  </si>
  <si>
    <t>к сводной бюджетной росписи на 2019 год</t>
  </si>
  <si>
    <t>к доведенному финансированию на 2019 года</t>
  </si>
  <si>
    <t>к сводной бюджетной росписи на 2020 год</t>
  </si>
  <si>
    <t>к доведенному финансированию на 2020 года</t>
  </si>
  <si>
    <t>ГОСУДАРСТВЕННЫЕ ПРОГРАММЫ АРХАНГЕЛЬСКОЙ ОБЛАСТИ</t>
  </si>
  <si>
    <t>88,3</t>
  </si>
  <si>
    <t>86,9</t>
  </si>
  <si>
    <t>Х</t>
  </si>
  <si>
    <t>82,7</t>
  </si>
  <si>
    <t>89,5</t>
  </si>
  <si>
    <t>82,2</t>
  </si>
  <si>
    <t>минсвязи АО</t>
  </si>
  <si>
    <t>администрация ГАО и ПАО</t>
  </si>
  <si>
    <t>81,3</t>
  </si>
  <si>
    <t>91,0</t>
  </si>
  <si>
    <t>инспекция по памятникам АО</t>
  </si>
  <si>
    <t>Государственная программа развития сельского хозяйства и регулирования рынков сельскохозяйственной продукции, сырья и продовольствия Архангельской области</t>
  </si>
  <si>
    <t>82,8</t>
  </si>
  <si>
    <t>минагропромторг АО</t>
  </si>
  <si>
    <t>инспекция по ветнадзору АО</t>
  </si>
  <si>
    <t>91,1</t>
  </si>
  <si>
    <t>92,2</t>
  </si>
  <si>
    <t>инспекция госстройнадзора АО</t>
  </si>
  <si>
    <t>87,5</t>
  </si>
  <si>
    <t>85,4</t>
  </si>
  <si>
    <t>Государственная программа Архангельской области "Обеспечение общественного порядка, профилактика преступности, коррупции, терроризма, экстремизма и незаконного потребления наркотических средств и психотропных веществ в Архангельской области"</t>
  </si>
  <si>
    <t>74,6</t>
  </si>
  <si>
    <t>58,6</t>
  </si>
  <si>
    <t>78,6</t>
  </si>
  <si>
    <t>85,3</t>
  </si>
  <si>
    <t>агентство ГПС и ГЗ АО</t>
  </si>
  <si>
    <t>84,4</t>
  </si>
  <si>
    <t>76,5</t>
  </si>
  <si>
    <t>87,8</t>
  </si>
  <si>
    <t>Государственная программа Архангельской области "Формирование современной городской среды в Архангельской области"</t>
  </si>
  <si>
    <t>83,7</t>
  </si>
  <si>
    <t>91,2</t>
  </si>
  <si>
    <t>Государственная программа Архангельской области "Развитие торговли в Архангельской области"</t>
  </si>
  <si>
    <t>95,8</t>
  </si>
  <si>
    <t>95,6</t>
  </si>
  <si>
    <t>88,4</t>
  </si>
  <si>
    <t>85,9</t>
  </si>
  <si>
    <t>90,8</t>
  </si>
  <si>
    <t>агентство ЗАГС АО</t>
  </si>
  <si>
    <t>агентство мировых судей АО</t>
  </si>
  <si>
    <t>92,6</t>
  </si>
  <si>
    <t>84,9</t>
  </si>
  <si>
    <t>Архгосжилинспекция</t>
  </si>
  <si>
    <t>83,4</t>
  </si>
  <si>
    <t>83,0</t>
  </si>
  <si>
    <t>65,0</t>
  </si>
  <si>
    <t>агентство развития Соловков</t>
  </si>
  <si>
    <t>85,0</t>
  </si>
  <si>
    <t>94,8</t>
  </si>
  <si>
    <t>минимущество АО</t>
  </si>
  <si>
    <t>97,9</t>
  </si>
  <si>
    <t>98,8</t>
  </si>
  <si>
    <t>ревизионная инспекция АО</t>
  </si>
  <si>
    <t>91,8</t>
  </si>
  <si>
    <t>86,2</t>
  </si>
  <si>
    <t>96,0</t>
  </si>
  <si>
    <t>минэкономразвития АО</t>
  </si>
  <si>
    <t>агентство по тарифам АО</t>
  </si>
  <si>
    <t>контрактное агентство АО</t>
  </si>
  <si>
    <t>87,4</t>
  </si>
  <si>
    <t>АДРЕСНЫЕ ПРОГРАММЫ АРХАНГЕЛЬСКОЙ ОБЛАСТИ</t>
  </si>
  <si>
    <t>ИНЫЕ ПРОГРАММЫ АРХАНГЕЛЬСКОЙ ОБЛАСТИ</t>
  </si>
  <si>
    <t>Региональная программа "Повышение уровня финансовой грамотности населения и развитие финансового образования в Архангельской области"</t>
  </si>
  <si>
    <t>* в приложении не отражены ГП АО прекратившие свое действие в 2019 году</t>
  </si>
  <si>
    <t xml:space="preserve">Итого с учетом ГП АО завершивших свое действие в 2019 году </t>
  </si>
  <si>
    <t>ГП АО:</t>
  </si>
  <si>
    <t>Устойчивое развитие сельских территорий Архангельской области</t>
  </si>
  <si>
    <t>Эффективное государственное управление в Архангельской области</t>
  </si>
  <si>
    <t>Развитие местного самоуправления в Архангельской области и государственная поддержка социально ориентированных некоммерческих организаций</t>
  </si>
  <si>
    <t>Экономическое развитие и инвестиционная деятельность в Архангельской области</t>
  </si>
  <si>
    <t>Проверка</t>
  </si>
  <si>
    <t>Сведения о невыполнении мероприятий или показателей реализации мероприятий государственных программ Архангельской области за 2020 год (по состоянию на 20.05.2021)</t>
  </si>
  <si>
    <t>Номер мероприятия</t>
  </si>
  <si>
    <t>Наименование программы, подпрограммы, мероприятия</t>
  </si>
  <si>
    <t>Оценка соблюдения сроков выполнения основных этапов мероприятия и (или) достижения показателей реализации мероприятия</t>
  </si>
  <si>
    <t>Причины невыполнения мероприятия</t>
  </si>
  <si>
    <t>Основные этапы выполнения мероприятия и (или) показатели реализации мероприятия, ед. изм.</t>
  </si>
  <si>
    <t>план на 1 квартал</t>
  </si>
  <si>
    <t>факт за 1 квартал</t>
  </si>
  <si>
    <t xml:space="preserve">план на 1 полугодие </t>
  </si>
  <si>
    <t>факт за 1 полугодие</t>
  </si>
  <si>
    <t>план на 9 месяцев</t>
  </si>
  <si>
    <t>факт за 9 месяцев</t>
  </si>
  <si>
    <t>план на 12 месяцев</t>
  </si>
  <si>
    <t>факт за 12 месяцев</t>
  </si>
  <si>
    <t>ГП АО "Развитие здравоохранения Архангельской области"</t>
  </si>
  <si>
    <t>Подпрограмма № 1 «Профилактика заболеваний и формирование здорового образа жизни. Развитие первичной медико-санитарной помощи»</t>
  </si>
  <si>
    <t>4.5</t>
  </si>
  <si>
    <t>Совершенствование системы оказания амбулаторной медицинской помощи</t>
  </si>
  <si>
    <t>Объем первичной медико-санитарной помощи в амбулаторных условиях; посещение</t>
  </si>
  <si>
    <t>41700</t>
  </si>
  <si>
    <t>43250</t>
  </si>
  <si>
    <t>46000</t>
  </si>
  <si>
    <t>44829</t>
  </si>
  <si>
    <t>49000</t>
  </si>
  <si>
    <t>51185</t>
  </si>
  <si>
    <t>174642</t>
  </si>
  <si>
    <t>153054</t>
  </si>
  <si>
    <t>Причиной невыполнения мероприятия послужило приостановление медицинской помощи в  плановой форме в связи с реализацией мер по профилактике и снижению рисков распространения новой коронавирусной инфекции COVID-19</t>
  </si>
  <si>
    <t>Подпрограмма №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</si>
  <si>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1.1.</t>
  </si>
  <si>
    <t>Совершенствование системы оказания медицинской помощи больным туберкулезом</t>
  </si>
  <si>
    <t>Объем специализированной медицинской помощи в стационарных условиях; случаи госпитализации</t>
  </si>
  <si>
    <t>120</t>
  </si>
  <si>
    <t>100</t>
  </si>
  <si>
    <t>180</t>
  </si>
  <si>
    <t>175</t>
  </si>
  <si>
    <t>280</t>
  </si>
  <si>
    <t>202</t>
  </si>
  <si>
    <t>384</t>
  </si>
  <si>
    <t>265</t>
  </si>
  <si>
    <t>Объем первичной специализированной медицинской помощи в амбулаторных условиях; посещение</t>
  </si>
  <si>
    <t>6217</t>
  </si>
  <si>
    <t>4820</t>
  </si>
  <si>
    <t>6600</t>
  </si>
  <si>
    <t>6120</t>
  </si>
  <si>
    <t>7000</t>
  </si>
  <si>
    <t>7300</t>
  </si>
  <si>
    <t>52504</t>
  </si>
  <si>
    <t>15978</t>
  </si>
  <si>
    <t>Объем первичной специализированной медицинской помощи в амбулаторных условиях; обращение</t>
  </si>
  <si>
    <t>5252</t>
  </si>
  <si>
    <t>7100</t>
  </si>
  <si>
    <t>7044</t>
  </si>
  <si>
    <t>8600</t>
  </si>
  <si>
    <t>8745</t>
  </si>
  <si>
    <t>30738</t>
  </si>
  <si>
    <t>14921</t>
  </si>
  <si>
    <t>Объем специализированной медицинской помощи в условиях дневного стационара; случаи лечения</t>
  </si>
  <si>
    <t>55</t>
  </si>
  <si>
    <t>35</t>
  </si>
  <si>
    <t>80</t>
  </si>
  <si>
    <t>77</t>
  </si>
  <si>
    <t>99</t>
  </si>
  <si>
    <t>460</t>
  </si>
  <si>
    <t>161</t>
  </si>
  <si>
    <t>1.2.</t>
  </si>
  <si>
    <t>Совершенствование ранней диагностики туберкулеза</t>
  </si>
  <si>
    <t>Охват населения профилактическими осмотрами на туберкулез; процент</t>
  </si>
  <si>
    <t/>
  </si>
  <si>
    <t>72</t>
  </si>
  <si>
    <t>37</t>
  </si>
  <si>
    <t>2.1.</t>
  </si>
  <si>
    <t>Совершенствование оказания медицинской помощи лицам, инфицированным вирусом иммунодефицита человека, гепатитами B и C</t>
  </si>
  <si>
    <t>Охват медицинским освидетельствованием на ВИЧ-инфекцию населения Архангельской области; процент</t>
  </si>
  <si>
    <t>20,4</t>
  </si>
  <si>
    <t>2.2.</t>
  </si>
  <si>
    <t>Развитие специализированной дерматовенерологической медицинской помощи</t>
  </si>
  <si>
    <t>880</t>
  </si>
  <si>
    <t>837</t>
  </si>
  <si>
    <t>1160</t>
  </si>
  <si>
    <t>1215</t>
  </si>
  <si>
    <t>1470</t>
  </si>
  <si>
    <t>1536</t>
  </si>
  <si>
    <t>16154</t>
  </si>
  <si>
    <t>2253</t>
  </si>
  <si>
    <t>Мероприятия выполнено не в полном объеме в связи с реализацией мер по профилактике и снижению рисков распространения новой коронавирусной инфекции COVID-19</t>
  </si>
  <si>
    <t>1850</t>
  </si>
  <si>
    <t>1802</t>
  </si>
  <si>
    <t>2800</t>
  </si>
  <si>
    <t>2900</t>
  </si>
  <si>
    <t>3790</t>
  </si>
  <si>
    <t>3958</t>
  </si>
  <si>
    <t>10138</t>
  </si>
  <si>
    <t>5987</t>
  </si>
  <si>
    <t>53</t>
  </si>
  <si>
    <t>38</t>
  </si>
  <si>
    <t>60</t>
  </si>
  <si>
    <t>62</t>
  </si>
  <si>
    <t>76</t>
  </si>
  <si>
    <t>200</t>
  </si>
  <si>
    <t>107</t>
  </si>
  <si>
    <t>Совершенствование системы оказания медицинской помощи наркологическим больным, совершенствование системы оказания медицинской помощи больным с психическими расстройствами и расстройствами поведения</t>
  </si>
  <si>
    <t>32800</t>
  </si>
  <si>
    <t>29185</t>
  </si>
  <si>
    <t>44400</t>
  </si>
  <si>
    <t>47955</t>
  </si>
  <si>
    <t>59500</t>
  </si>
  <si>
    <t>59273</t>
  </si>
  <si>
    <t>227456</t>
  </si>
  <si>
    <t>102632</t>
  </si>
  <si>
    <t>10000</t>
  </si>
  <si>
    <t>9583</t>
  </si>
  <si>
    <t>17340</t>
  </si>
  <si>
    <t>17493</t>
  </si>
  <si>
    <t>19830</t>
  </si>
  <si>
    <t>20337</t>
  </si>
  <si>
    <t>45606</t>
  </si>
  <si>
    <t>35169</t>
  </si>
  <si>
    <t>255</t>
  </si>
  <si>
    <t>470</t>
  </si>
  <si>
    <t>518</t>
  </si>
  <si>
    <t>700</t>
  </si>
  <si>
    <t>667</t>
  </si>
  <si>
    <t>2469</t>
  </si>
  <si>
    <t>954</t>
  </si>
  <si>
    <t>1620</t>
  </si>
  <si>
    <t>1622</t>
  </si>
  <si>
    <t>2740</t>
  </si>
  <si>
    <t>3990</t>
  </si>
  <si>
    <t>3803</t>
  </si>
  <si>
    <t>6429</t>
  </si>
  <si>
    <t>4980</t>
  </si>
  <si>
    <t>Совершенствование системы оказания медицинской помощи</t>
  </si>
  <si>
    <t>49660</t>
  </si>
  <si>
    <t>49145</t>
  </si>
  <si>
    <t>60000</t>
  </si>
  <si>
    <t>62601</t>
  </si>
  <si>
    <t>75000</t>
  </si>
  <si>
    <t>78372</t>
  </si>
  <si>
    <t>237258</t>
  </si>
  <si>
    <t>140366</t>
  </si>
  <si>
    <t>11630</t>
  </si>
  <si>
    <t>6968</t>
  </si>
  <si>
    <t>12800</t>
  </si>
  <si>
    <t>12837</t>
  </si>
  <si>
    <t>18500</t>
  </si>
  <si>
    <t>18135</t>
  </si>
  <si>
    <t>51683</t>
  </si>
  <si>
    <t>26546</t>
  </si>
  <si>
    <t>170</t>
  </si>
  <si>
    <t>174</t>
  </si>
  <si>
    <t>390</t>
  </si>
  <si>
    <t>327</t>
  </si>
  <si>
    <t>520</t>
  </si>
  <si>
    <t>472</t>
  </si>
  <si>
    <t>987</t>
  </si>
  <si>
    <t>649</t>
  </si>
  <si>
    <t>1750</t>
  </si>
  <si>
    <t>1634</t>
  </si>
  <si>
    <t>2340</t>
  </si>
  <si>
    <t>1988</t>
  </si>
  <si>
    <t>2750</t>
  </si>
  <si>
    <t>3111</t>
  </si>
  <si>
    <t>7279</t>
  </si>
  <si>
    <t>4093</t>
  </si>
  <si>
    <t>Подпрограмма № 4 «Охрана здоровья матери и ребенка»</t>
  </si>
  <si>
    <t>3.</t>
  </si>
  <si>
    <t>Обеспечение полноценным питанием беременных женщин, кормящих матерей и детей в возрасте до 3 лет</t>
  </si>
  <si>
    <t>Проведение процедуры размещения заказа на 2021 год; срок завершения</t>
  </si>
  <si>
    <t>30 ноября</t>
  </si>
  <si>
    <t>Мероприятие не выполнено в связи с длительными сроками согласования сделки по контрактным обязательствам с поставщиком. Контракт заключен 20 января 2021 года</t>
  </si>
  <si>
    <t>Заключение контракта на 2021 год; срок завершения</t>
  </si>
  <si>
    <t>29 декабря</t>
  </si>
  <si>
    <t>Обеспечение полноценным питанием беременных женщин, кормящих матерей и детей в возрасте до 3 лет; количество получателей</t>
  </si>
  <si>
    <t>13000</t>
  </si>
  <si>
    <t>11762</t>
  </si>
  <si>
    <t>11305</t>
  </si>
  <si>
    <t>10922</t>
  </si>
  <si>
    <t>15000</t>
  </si>
  <si>
    <t>11515</t>
  </si>
  <si>
    <t>Мероприятие носит заявительный характер</t>
  </si>
  <si>
    <t xml:space="preserve">10. </t>
  </si>
  <si>
    <t>Укрепление материально-технической базы детских поликлиник и детских поликлинических отделений государственных медицинских организаций, в том числе в рамках федерального проекта «Развитие детского здравоохранения, включая создание современной инфраструктуры оказания медицинской помощи детям» национального проекта «Здравоохранение»</t>
  </si>
  <si>
    <t>Количество государственных медицинских организаций Архангельской области, дооснащенных медицинским оборудованием; единиц</t>
  </si>
  <si>
    <t>В соответствии с распоряжением министерства здравоохранения от 28 января 2020 г. № 26-рп ГБУЗ Архангельской области «Северодвинская городская поликлиника «Ягры» реорганизована путем присоединения к ГБУЗ Архангельской области «Северодвинская городская клиническая больница № 2 скорой медицинской помощи»</t>
  </si>
  <si>
    <t>Подпрограмма 5 «Развитие медицинской реабилитации и санаторно-курортного лечения, в том числе детям»</t>
  </si>
  <si>
    <t>1.1</t>
  </si>
  <si>
    <t>Развитие медицинской реабилитации и санаторно-курортного лечения, в том числе детям</t>
  </si>
  <si>
    <t>Объем санаторно-курортного лечения; койко-день</t>
  </si>
  <si>
    <t>13800</t>
  </si>
  <si>
    <t>13854</t>
  </si>
  <si>
    <t>16700</t>
  </si>
  <si>
    <t>16338</t>
  </si>
  <si>
    <t>20000</t>
  </si>
  <si>
    <t>20889</t>
  </si>
  <si>
    <t>62220</t>
  </si>
  <si>
    <t>24408</t>
  </si>
  <si>
    <t>Подпрограмма 6 «Оказание паллиативной помощи, в том числе детям»</t>
  </si>
  <si>
    <t>Оказание паллиативной помощи</t>
  </si>
  <si>
    <t>Объем паллиативной медицинской помощи, оказанной взрослым; койко-день</t>
  </si>
  <si>
    <t>29500</t>
  </si>
  <si>
    <t>29817</t>
  </si>
  <si>
    <t>57000</t>
  </si>
  <si>
    <t>55110</t>
  </si>
  <si>
    <t>82000</t>
  </si>
  <si>
    <t>79652</t>
  </si>
  <si>
    <t>123997</t>
  </si>
  <si>
    <t>102917</t>
  </si>
  <si>
    <t xml:space="preserve">Подпрограмма № 10 «Совершенствование системы 
территориального планирования Архангельской области»
</t>
  </si>
  <si>
    <t>1.1.10.</t>
  </si>
  <si>
    <t>Корректировка проектной документации и строительство объекта «Лечебно-диагностический корпус государственного бюджетного учреждения здравоохранения Архангельской области «Архангельская областная детская клиническая 
больница имени П.Г. Выжлецова», в том числе в рамках федерального проекта «Развитие детского здравоохранения, включая создание современной системы оказания медицинской помощи детям» национального проекта «Здравоохранение»</t>
  </si>
  <si>
    <t>заключение государственного контракта по итогам проведения аукционных процедур; срок завершения</t>
  </si>
  <si>
    <t>31 августа</t>
  </si>
  <si>
    <t>10 декабря</t>
  </si>
  <si>
    <t>Признание единственной заявки на участие в аукционе несоответствующей требованиям Федерального закона от 05.04.2013 г. № 44-ФЗ, последующее проведение проверки ФАС России, в связи с поданной жалобой участника закупки. Контракт на строительство объекта между ГКУ АО «ГУКС» и АО «ПРОМСТРОЙСЕРВИС» заключен 10 декабря 2020 года</t>
  </si>
  <si>
    <t>техническая готовность объекта; процент</t>
  </si>
  <si>
    <t>1.1.11.</t>
  </si>
  <si>
    <t>строительство больницы в пос. Березник Виноградовского района Архангельской области)</t>
  </si>
  <si>
    <t>выполнение работ по строительству объекта в соответствии с заключенным контрактом; срок завершения</t>
  </si>
  <si>
    <t>31 декабря</t>
  </si>
  <si>
    <t>В отчетном году контракт не обеспечен требуемым для завершения работ лимитом финансирования; кроме того, требовалась корректировка проектной документации для завершения работ</t>
  </si>
  <si>
    <t>1.1.15</t>
  </si>
  <si>
    <t>проектирование и строительство здания офиса врача общей практики на территории 29-го лесозавода города Архангельска</t>
  </si>
  <si>
    <t>оплата выполненных проектных работ; срок завершения</t>
  </si>
  <si>
    <t>15 августа</t>
  </si>
  <si>
    <t>12 октября</t>
  </si>
  <si>
    <t>Решение Арбитражного суда Архангельской области по итогам судебного производства принято 08.06.2020. С учетом сроков вступления решения в силу и сопутствующих процедур исполнительный лист поступил в адрес заказчика в конце сентября</t>
  </si>
  <si>
    <t>1.1.19.</t>
  </si>
  <si>
    <t>Строительство больницы на 16 стационарных коек и 7 коек дневного стационара в пос. Урдома Ленского района Архангельской области</t>
  </si>
  <si>
    <t>выполнение работ по проектированию объекта; срок завершения</t>
  </si>
  <si>
    <t>15 октября</t>
  </si>
  <si>
    <t>24 декабря</t>
  </si>
  <si>
    <t>Нарушением срока выполнения мероприятия послужило нарушение проектной организацией сроков завершения работ</t>
  </si>
  <si>
    <t>Проведение текущих и капитальных ремонтов, обследований строительных конструкций, технологических присоединений линий электроснабжения, разработка проектно-сметной документации в государственных медицинских организациях</t>
  </si>
  <si>
    <t>1) завершение работ; срок завершения</t>
  </si>
  <si>
    <t>21 декабря</t>
  </si>
  <si>
    <t>Причина нарушения плана – недобросовестность подрядчика: нарушены сроки выполнения работ, установленные контрактом (ГБУЗ АО «Архангельский клинический онкологический диспансер»)</t>
  </si>
  <si>
    <t>2) завершение работ; срок завершения</t>
  </si>
  <si>
    <t>Причина нарушения плана – длительность проведения процедуры оценки достоверности сметной документации. Задержка исполнения контракта на выполнение проектно-сметной документации. (ГБУЗ Архангельской области «Северодвинская городская больница № 1»)</t>
  </si>
  <si>
    <t>4) завершение работ; срок завершения</t>
  </si>
  <si>
    <t>Причина нарушения плана – ограничение режима работы подрядчика, связанные с лечением больных COVID-19; недобросовестность подрядчика: нарушены сроки выполнения работ, установленные контрактом (ГБУЗ АО «Северодвинская городская клиническая больница № 2 скорой медицинской помощи»; ГБУЗ АО «Котласская центральная городская больница имени святителя Луки (В.Ф. Войно-Ясенецкого)»)</t>
  </si>
  <si>
    <t>Приобретение оборудования и мебели для государственных медицинских организаций</t>
  </si>
  <si>
    <t>формирование заявки на размещение заказа и направление в контрактное агентство; срок завершения</t>
  </si>
  <si>
    <t>1) Приобретение оборудования и мебели в ГБУЗ Архангельской области «Северодвинская городская больница № 1» предусмотрено для регистратуры, ремонт которой не завершен, в связи с чем оборудование частично не могло быть закуплено;
2) ФАП в пос. Зеленый Бор (ГБУЗ Архангельской области «Вельская центральная районная больница») приобретен в 4 квартале 2020 года, в связи с чем заказчик не смог в установленный срок направить заявки в контрактное агентство на оснащение ФАП; 
3) В рамках мероприятия по хранению, ремонту, транспортировке, консервации и монтажу МРТ, переданного ГБУЗ Архангельской области «Архангельская городская клиническая поликлиника № 1» из ГБУЗ Архангельской области «Архангельский клинический онкологический диспансер» выполнены работы по ремонту МРТ, осуществлять транспортировку МРТ необходимо с соблюдением температурного режима, в зимнее время транспортировка невозможна</t>
  </si>
  <si>
    <t>ГП АО "Развитие образования и науки Архангельской области"</t>
  </si>
  <si>
    <t>Подпрограмма № 1 «Развитие общего и дополнительного образования»</t>
  </si>
  <si>
    <t>1.7</t>
  </si>
  <si>
    <t>Укрепление материально-технической базы муниципальных дошкольных образовательных организаций</t>
  </si>
  <si>
    <t>количество дошкольных образовательных организаций, укрепивших материально-техническую базу; единиц</t>
  </si>
  <si>
    <t>115</t>
  </si>
  <si>
    <t>103</t>
  </si>
  <si>
    <t>Количество дошкольных образовательных организаций определяется по результатам конкурсного отбора, в 2020 году субсидия распределена только на 103 дошкольных образовательных организации</t>
  </si>
  <si>
    <t>1.25</t>
  </si>
  <si>
    <t>Устранение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 получающих начальное общее образование</t>
  </si>
  <si>
    <t>количество структурных подразделений муниципальных общеобразовательных организаций, в которых созданы условия для организации горячего питания обучающихся по образовательным программам начального общего образования; единиц</t>
  </si>
  <si>
    <t>В 1 структурном подразделении приостановлена деятельность (деревня Лахома Верхнетоемского муниципального района Архангельской области)</t>
  </si>
  <si>
    <t>2.1</t>
  </si>
  <si>
    <t>Проведение системы областных, межрегиональных, всероссийских, международных мероприятий, обеспечивающих выявление и поддержку интеллектуально одаренных и талантливых детей, а также воспитательных мероприятий, мероприятий для обучающихся и педагогических работников по всем направленностям дополнительного образования, организация информационно-просветительской работы по формированию культуры здорового питания детей</t>
  </si>
  <si>
    <t>количество мероприятий; единиц</t>
  </si>
  <si>
    <t>36</t>
  </si>
  <si>
    <t>29</t>
  </si>
  <si>
    <t>39</t>
  </si>
  <si>
    <t>66</t>
  </si>
  <si>
    <t>Отмена мероприятий обусловлена реализацией мер по профилактике и снижению рисков распространения новой коронавирусной инфекции COVID-19</t>
  </si>
  <si>
    <t>3.4</t>
  </si>
  <si>
    <t>Реализация региональных полномочий в области оценки качества образования на территории Архангельской области, включая информационно-аналитическое, организационно-технологическое, информационно-методическое, консультационное обеспечение оценочных процедур, статистического наблюдения за деятельностью образовательных организаций, оценки 
и анализа условий организации образовательной деятельности на региональном уровне</t>
  </si>
  <si>
    <t>информационно-аналитическое, организационно-технологическое, информационно-методическое, консультационное обеспечение государственной итоговой аттестации по образовательным программам основного общего и среднего общего образования (количество человеко/экзаменов); единиц</t>
  </si>
  <si>
    <t>12859</t>
  </si>
  <si>
    <t>12124</t>
  </si>
  <si>
    <t>88028</t>
  </si>
  <si>
    <t>12173</t>
  </si>
  <si>
    <t>89508</t>
  </si>
  <si>
    <t>28194</t>
  </si>
  <si>
    <t>95750</t>
  </si>
  <si>
    <t>37658</t>
  </si>
  <si>
    <t>В соответствии с приказом Министерства просвещения РФ и Федеральной службы по надзору в сфере образования и науки от 18 мая 2020 года № 237/588, от 11 июня 2020 года № 293/650 в 2020 году не проводилась экзаменационная кампания в 9 классах (основной государственный экзамен)</t>
  </si>
  <si>
    <t>информационно-аналитическое, организационно-технологическое, информационно-методическое, консультационное обеспечение региональной системы оценки качества образования (количество человеко/мониторингов); единиц</t>
  </si>
  <si>
    <t>2000</t>
  </si>
  <si>
    <t>1603</t>
  </si>
  <si>
    <t>270839</t>
  </si>
  <si>
    <t>1645</t>
  </si>
  <si>
    <t>272839</t>
  </si>
  <si>
    <t>142420</t>
  </si>
  <si>
    <t>229171</t>
  </si>
  <si>
    <t>Частичное выполнение показателя обусловлено введением на территории Архангельской области режима повышенной готовности в период проведения в сентябре – октябре 2020 года всероссийских проверочных работ (далее – ВПР) в связи с чем в отдельных общеобразовательных организациях (классах общеобразовательных организаций) были введены ограничительные мероприятия, что повлекло снижение количества обучающихся которые приняли участие ВПР. Дополнительные сроки для проведения ВПР не предусматривает Рособрнадзор (приказ Рособрнадзора от 06.05.2020 г. № 567 «О внесении изменений в приказ Федеральной службы по надзору в сфере образования и науки от 27.12.2019 г. № 1746 «О проведении Федеральной службой по надзору в сфере образования и науки мониторинга качества подготовки обучающихся общеобразовательных организаций в форме всероссийских проверочных работ в 2020 году»)</t>
  </si>
  <si>
    <t>1.3</t>
  </si>
  <si>
    <t>Проведение массовых мероприятий для обучающихся, воспитанников государственных образовательных организаций Архангельской области</t>
  </si>
  <si>
    <t>количество проведенных областных массовых мероприятий для обучающихся, воспитанников государственных образовательных организаций Архангельской области; единиц</t>
  </si>
  <si>
    <t>количество детей-сирот и детей, оставшихся без попечения родителей, дети с ограниченными возможностями здоровья, принявших участие в мероприятиях; Человек</t>
  </si>
  <si>
    <t>300</t>
  </si>
  <si>
    <t>150</t>
  </si>
  <si>
    <t>600</t>
  </si>
  <si>
    <t>Материально-техническое обеспечение деятельности регионального оператора государственного банка данных о детях, оставшихся без попечения родителей</t>
  </si>
  <si>
    <t>количество детей-сирот, переданных на воспитание в семьи граждан; человек</t>
  </si>
  <si>
    <t>110</t>
  </si>
  <si>
    <t>260</t>
  </si>
  <si>
    <t>400</t>
  </si>
  <si>
    <t>285</t>
  </si>
  <si>
    <t>500</t>
  </si>
  <si>
    <t>425</t>
  </si>
  <si>
    <t>Невыполнение показателя связано с приостановкой передачи детей-сирот в семьи граждан в связи с коронавирусной инфекцией (Указ Губернатора Архангельской области от 17.03.2020 № 28-у)</t>
  </si>
  <si>
    <t>4.8</t>
  </si>
  <si>
    <t>Организация доставки детей-сирот и детей, оставшихся без попечения родителей, выявленных органами опеки и попечительства муниципальных образований Архангельской области, осуществляющими государственные полномочия по организации и осуществлению деятельности по опеке и попечительству, в государственные бюджетные учреждения здравоохранения Архангельской области "Специализированный дом ребенка для детей с поражением центральной нервной системы и нарушением психики" и "Северодвинский специализированный дом ребенка для детей с поражением центральной нервной системы, нарушением психики"</t>
  </si>
  <si>
    <t>количество доставленных и перевезенных детей-сирот и детей, оставшихся без попечения родителей, выявленных органами опеки и попечительства муниципальных образований Архангельской области, осуществляющими государственные полномочия по организации и осуществлению деятельности по опеке и попечительству; Человек</t>
  </si>
  <si>
    <t>Не выявлено детей, оставшихся без попечения родителей, нуждающихся в устройстве в дома ребенка</t>
  </si>
  <si>
    <t>Подпрограмма № 3 «Развитие среднего профессионального образования»</t>
  </si>
  <si>
    <t>2.3</t>
  </si>
  <si>
    <t>Реализация приоритетных направлений учебно-воспитательной работы в подведомственных министерству образования и науки Архангельской области профессиональных образовательных организациях</t>
  </si>
  <si>
    <t>количество обучающихся профессиональных образовательных организаций, принимающих участие в областных мероприятиях; человек</t>
  </si>
  <si>
    <t>900</t>
  </si>
  <si>
    <t>1500</t>
  </si>
  <si>
    <t>2500</t>
  </si>
  <si>
    <t>количество предметов, по которым проведены областные олимпиады; единиц</t>
  </si>
  <si>
    <t>количество видов спорта, по которым проведены областные спартакиады; единиц</t>
  </si>
  <si>
    <t>проведение военно-спортивной игры "Салют"; срок завершения</t>
  </si>
  <si>
    <t>30 июня</t>
  </si>
  <si>
    <t>Подпрограмма № 5 «Развитие научного потенциала Архангельской области»</t>
  </si>
  <si>
    <t>Организация и проведение областного конкурса грантов по поддержке фундаментальных и прикладных научных проектов по приоритетным направлениям развития Архангельской области</t>
  </si>
  <si>
    <t>количество научных проектов по приоритетным направлениям развития Архангельской области, поддержанных по результатам регионального конкурса; единиц</t>
  </si>
  <si>
    <t>1.2</t>
  </si>
  <si>
    <t>Софинансирование научных проектов в сфере фундаментальных наук, поддержанных по результатам региональных конкурсов грантов, проводимых Российским фондом фундаментальных исследований</t>
  </si>
  <si>
    <t>количество научных проектов в сфере фундаментальных наук, поддержанных по результатам регионального конкурса; единиц</t>
  </si>
  <si>
    <t>Софинансирование научных проектов в сфере гуманитарных наук, поддержанных по результатам регионального конкурса грантов, проводимого Российским гуманитарным научным фондом (Российским фондом фундаментальных исследований)</t>
  </si>
  <si>
    <t>количество научных проектов в сфере гуманитарных наук, поддержанных по результатам регионального конкурса; единиц</t>
  </si>
  <si>
    <t>количество молодых ученых, участвующих в реализации научных проектов, поддержанных по результатам регионального конкурса; человек</t>
  </si>
  <si>
    <t>Подпрограмма № 7 «Строительство и капитальный ремонт объектов инфраструктуры системы образования в Архангельской области»</t>
  </si>
  <si>
    <t>1.1.22</t>
  </si>
  <si>
    <t>Строительство детского сада на 120 мест в пос. Малошуйка Онежского района (в рамках федерального проекта «Содействие занятости женщин - создание условий дошкольного образования для детей в возрасте до трех лет» национального проекта «Демография»)</t>
  </si>
  <si>
    <t>устройство фундамента; срок завершения;</t>
  </si>
  <si>
    <t>30 августа</t>
  </si>
  <si>
    <t>Мероприятие не выполнено в связи с устранением многочисленных замечаний государственной экспертизы проектной документации, в том числе из-за замены земельного участка под строительство детского сада в связи с имеющейся санитарной-защитной зоной котельной, расположенной на прилегающем земельном участке</t>
  </si>
  <si>
    <t>ввод в эксплуатацию здания детского сада; срок завершения;</t>
  </si>
  <si>
    <t>1.1.27</t>
  </si>
  <si>
    <t>Строительство детского сада на 220 мест в г. Мезени Архангельской области (в рамках федерального проекта «Содействие занятости женщин - создание условий дошкольного образования для детей в возрасте до трех лет» национального проекта «Демография»)</t>
  </si>
  <si>
    <t>Выявлена необходимость замены земельного участка под строительство детского сада в связи с превышением сметной стоимости объекта установленных лимитов, ввиду высокой стоимости подготовительных работ и нецелесообразностью их выполнения (превышает стоимость основных видов СМР).</t>
  </si>
  <si>
    <t>1.1.28</t>
  </si>
  <si>
    <t>Строительство детского сада на 60 мест в г. Няндоме Архангельской области (в рамках федерального проекта «Содействие занятости женщин - создание условий дошкольного образования для детей в возрасте до трех лет» национального проекта «Демография»)</t>
  </si>
  <si>
    <t xml:space="preserve">В связи с неисполнением предыдущей подрядной организацией обязательств в установленные контрактом сроки 25 марта 2020 года по соглашению сторон контракт расторгнут. 2 июня 2020 года заключен муниципальный контракт с новой подрядной организацией
</t>
  </si>
  <si>
    <t>1.1.33</t>
  </si>
  <si>
    <t>Строительство детского сада на 280 мест в 6 микрорайоне территориального округа Майская горка города Архангельска</t>
  </si>
  <si>
    <t>30 декабря</t>
  </si>
  <si>
    <t>2.1.4</t>
  </si>
  <si>
    <t>Строительство средней общеобразовательной школы на 250 учащихся с блоком временного проживания на 50 человек в с. Ровдино Шенкурского района</t>
  </si>
  <si>
    <t>возведение коробки здания с устройством кровли; срок завершения;</t>
  </si>
  <si>
    <t>30 сентября</t>
  </si>
  <si>
    <t xml:space="preserve">Мероприятие не выполнено в связи с устранением многочисленных замечаний государственной экспертизы проектной документации </t>
  </si>
  <si>
    <t>ввод в эксплуатацию здания школы; срок завершения;</t>
  </si>
  <si>
    <t>2.1.7</t>
  </si>
  <si>
    <t>Строительство пристройки к зданию школы в пос. Приводино Котласского района</t>
  </si>
  <si>
    <t>заключение контракта на строительство; срок завершения;</t>
  </si>
  <si>
    <t>31 октября</t>
  </si>
  <si>
    <t>28 декабря</t>
  </si>
  <si>
    <t>Мероприятие выполнено с нарушением сроков реализации по причине длительных сроков корректировки проектной документации</t>
  </si>
  <si>
    <t>устройства фундамента; срок завершения;</t>
  </si>
  <si>
    <t>Мероприятие не выполнено в связи с поздним сроком заключения государственного контракта на строительство объекта</t>
  </si>
  <si>
    <t>2.1.14</t>
  </si>
  <si>
    <t>Строительство школы на 90 учащихся в с. Долгощелье Мезенского района Архангельской области</t>
  </si>
  <si>
    <t>Мероприятие не выполнено по причине отсутствия песка в необходимом количестве для отсыпки котлована, а также удаленность объекта</t>
  </si>
  <si>
    <t>2.1.16</t>
  </si>
  <si>
    <t>Строительство школы на 860 мест в территориальном округе Варавино-Фактория г. Архангельска</t>
  </si>
  <si>
    <t>Мероприятие не выполнено в связи с корректировкой проектной документации, а также длительными процедурами заключения контракта на строительство объекта по причине поступления жалоб</t>
  </si>
  <si>
    <t>2.1.17</t>
  </si>
  <si>
    <t>Строительство школы на 1600 мест в территориальном округе Майская горка г. Архангельска</t>
  </si>
  <si>
    <t xml:space="preserve">выполнение работ по устройству фундамента; </t>
  </si>
  <si>
    <t>Мероприятие не выполнено в связи с длительным сроком корректировки проектной документации</t>
  </si>
  <si>
    <t>2.9</t>
  </si>
  <si>
    <t>Разработка проектно-сметной документации, прохождение экспертизы и выполнение капитального ремонта зданий ГАОУ ДПО "Архангельский областной институт открытого образования"</t>
  </si>
  <si>
    <t>проведение конкурсных процедур и заключение контрактов на выполнение ремонтных работ; срок завершения;</t>
  </si>
  <si>
    <t>15 июля</t>
  </si>
  <si>
    <t xml:space="preserve">Затянутые сроки решения вопроса о выделении финансирования 
</t>
  </si>
  <si>
    <t>завершение ремонтных работ; срок завершения;</t>
  </si>
  <si>
    <t>3.12</t>
  </si>
  <si>
    <t>Устройство ограждений районного центра дополнительного образования в пос. Плесецк городского поселения «Плесецкое» Плесецкого муниципального района Архангельской области</t>
  </si>
  <si>
    <t>подготовка конкурсной документации; срок завершения;</t>
  </si>
  <si>
    <t>Мероприятие не выполнено в связи с поздним сроком заключения соглашения, следствие чего поздние сроки доведения финансирования. Мероприятие выполнено в апреле 2021 года</t>
  </si>
  <si>
    <t>ГП АО "Социальная поддержка граждан в Архангельской области"</t>
  </si>
  <si>
    <t>Подпрограмма № 1 «Организация работы по социальному обслуживанию граждан и социальной защите населения Архангельской области»</t>
  </si>
  <si>
    <t>3.2.</t>
  </si>
  <si>
    <t>Перевозка несовершеннолетних, самовольно ушедших из семей, организаций для детей-сирот и детей, оставшихся без попечения родителей, специальных учебно-воспитательных учреждений открытого типа или иных организаций, осуществляющих образовательную деятельность</t>
  </si>
  <si>
    <t>Количество несовершеннолетних, перевезенных к месту проживания, возвращенных в семьи, организации для детей-сирот и детей, оставшихся без попечения родителей, специальные учебно-воспитательные учреждения открытого типа или иные организации, осуществляющие образовательную деятельность; человек</t>
  </si>
  <si>
    <t>Реализация мероприятия имеет заявительный характер. На реализацию мероприятия также оказала влияние новая коронавирусная инфекция.</t>
  </si>
  <si>
    <t>3.3.</t>
  </si>
  <si>
    <t>Выплата вознаграждения лицу, организовавшему приемную семью для гражданина пожилого возраста или инвалида</t>
  </si>
  <si>
    <t>Количество граждан, организовавших приемную семью; человек</t>
  </si>
  <si>
    <t>58</t>
  </si>
  <si>
    <t>56</t>
  </si>
  <si>
    <t>63</t>
  </si>
  <si>
    <t>68</t>
  </si>
  <si>
    <t xml:space="preserve">Подпрограмма № 2 «Меры социальной поддержки 
отдельным категориям граждан, проживающим 
на территории Архангельской области»
</t>
  </si>
  <si>
    <t>Предоставление мер социальной поддержки инвалидам боевых действий в Афганистане и на Северном Кавказе и членам семей погибших (умерших) военнослужащих (областной закон от 19 сентября 2001 года № 63-8-ОЗ "О социальной защите инвалидов боевых действий в Афганистане, на Северном Кавказе и членов семей погибших (умерших) военнослужащих", областной закон от 29 ноября 2005 года № 119-7-ОЗ "О социальной поддержке инвалидов в Архангельской области")</t>
  </si>
  <si>
    <t>Количество получателей мер социальной поддержки (на конец отчетного периода); человек</t>
  </si>
  <si>
    <t>168</t>
  </si>
  <si>
    <t>171</t>
  </si>
  <si>
    <t>187</t>
  </si>
  <si>
    <t>207</t>
  </si>
  <si>
    <t>190</t>
  </si>
  <si>
    <t>220</t>
  </si>
  <si>
    <t>204</t>
  </si>
  <si>
    <t>Получатели данного вида мер социальной поддержки относятся к категории граждан преклонного возраста, на снижение численности получателей влияет естественная убыль населения</t>
  </si>
  <si>
    <t>1.5.</t>
  </si>
  <si>
    <t>Субсидии на оплату жилищно-коммунальных услуг (постановление Правительства Российской Федерации от 14 декабря 2005 года № 761 «О предоставлении субсидий на оплату жилого помещения и коммунальных услуг»)</t>
  </si>
  <si>
    <t>18000</t>
  </si>
  <si>
    <t>19167</t>
  </si>
  <si>
    <t>22000</t>
  </si>
  <si>
    <t>20200</t>
  </si>
  <si>
    <t>Предоставление мер социальной поддержки носит заявительный характер,  не достижение плановых объемов оказания мер социальной поддержки связано с отсутствием потребности на отчетную дату.</t>
  </si>
  <si>
    <t>1.13.</t>
  </si>
  <si>
    <t>Обеспечение равной доступности услуг общественного транспорта (статьи 2 и 4 Федерального закона от 12 января 1995 года № 5-ФЗ «О ветеранах»)</t>
  </si>
  <si>
    <t>1385</t>
  </si>
  <si>
    <t>2623</t>
  </si>
  <si>
    <t>7848</t>
  </si>
  <si>
    <t>14000</t>
  </si>
  <si>
    <t>1.27.</t>
  </si>
  <si>
    <t>222</t>
  </si>
  <si>
    <t>380</t>
  </si>
  <si>
    <t>318</t>
  </si>
  <si>
    <t>430</t>
  </si>
  <si>
    <t>1000</t>
  </si>
  <si>
    <t>641</t>
  </si>
  <si>
    <t>1.28.</t>
  </si>
  <si>
    <t>Предоставление компенсации расходов на приобретение комплекта оборудования для непосредственного приема сигналов телевизионного спутникового вещания отдельным категориям граждан, проживающих в населенных пунктах Архангельской области, территории которых не входят в зону охвата объектов сети цифрового эфирного телерадиовещания</t>
  </si>
  <si>
    <t>140</t>
  </si>
  <si>
    <t>172</t>
  </si>
  <si>
    <t>270</t>
  </si>
  <si>
    <t>350</t>
  </si>
  <si>
    <t>800</t>
  </si>
  <si>
    <t>441</t>
  </si>
  <si>
    <t>1.29.</t>
  </si>
  <si>
    <t>Компенсационные выплаты гражданам в случае фактического увеличения размера вносимой платы за коммунальные услуги, превышающего предельные (максимальные) индексы изменения размера платы за коммунальные услуги в муниципальных образованиях Архангельской области</t>
  </si>
  <si>
    <t>1.30.</t>
  </si>
  <si>
    <t>64500</t>
  </si>
  <si>
    <t>64142</t>
  </si>
  <si>
    <t>67000</t>
  </si>
  <si>
    <t>64254</t>
  </si>
  <si>
    <t>68500</t>
  </si>
  <si>
    <t>64287</t>
  </si>
  <si>
    <t>Получатели данного вида мер социальной поддержки относятся к категории граждан преклонного возраста, на снижение численности получателей влияет естественная убыль населения. Смертность данной категории лиц составляет более 8 процентов в год.</t>
  </si>
  <si>
    <t>Подпрограмма № 4 «Развитие системы отдыха и оздоровления детей»</t>
  </si>
  <si>
    <t>Круглогодичное оздоровление детей на базе государственного автономного учреждения здравоохранения Архангельской области «Санаторий «Сольвычегодск»</t>
  </si>
  <si>
    <t>Количество оздоровленных детей; Человек</t>
  </si>
  <si>
    <t>218</t>
  </si>
  <si>
    <t>415</t>
  </si>
  <si>
    <t>513</t>
  </si>
  <si>
    <t>799</t>
  </si>
  <si>
    <t>1092</t>
  </si>
  <si>
    <t>Круглогодичное оздоровление детей на базе государственного бюджетного учреждения здравоохранения Архангельской области «Детский туберкулезный санаторий имени М.Н. Фаворской»</t>
  </si>
  <si>
    <t>89</t>
  </si>
  <si>
    <t>240</t>
  </si>
  <si>
    <t>1.4</t>
  </si>
  <si>
    <t>Оздоровление детей в детских санаториях, детских санаторных оздоровительных лагерях круглогодичного действия</t>
  </si>
  <si>
    <t>660</t>
  </si>
  <si>
    <t>1.5</t>
  </si>
  <si>
    <t>Организация отдыха и оздоровления детей в каникулярный период</t>
  </si>
  <si>
    <t>25000</t>
  </si>
  <si>
    <t>35000</t>
  </si>
  <si>
    <t>284</t>
  </si>
  <si>
    <t>40400</t>
  </si>
  <si>
    <t>Оздоровление детей в организациях отдыха детей и их оздоровления сезонного или круглогодичного действия с круглосуточным пребыванием</t>
  </si>
  <si>
    <t>Количество оздоровленных детей, находящихся в трудной жизненной ситуации; Человек</t>
  </si>
  <si>
    <t>3900</t>
  </si>
  <si>
    <t>2.2</t>
  </si>
  <si>
    <t>680</t>
  </si>
  <si>
    <t>2.5</t>
  </si>
  <si>
    <t>Организация отдыха детей-сирот и детей, оставшихся без попечения родителей, воспитывающихся в государственных образовательных организациях Архангельской области</t>
  </si>
  <si>
    <t>Доля оздоровленных детей-сирот и детей, оставшихся без попечения родителей; Процент</t>
  </si>
  <si>
    <t>50</t>
  </si>
  <si>
    <t>2.7</t>
  </si>
  <si>
    <t>Оздоровление детей в организациях отдыха детей и их оздоровления с дневным пребыванием, лагерях палаточного типа, организованных государственными организациями социального обслуживания</t>
  </si>
  <si>
    <t>2.8.</t>
  </si>
  <si>
    <t>Оздоровление обучающихся с ограниченными возможностями здоровья в организациях отдыха детей и их оздоровления с дневным пребыванием, организованных государственными общеобразовательными организациями Архангельской области</t>
  </si>
  <si>
    <t>Количество заключенных соглашений с государственными  учреждениями-участниками; единиц</t>
  </si>
  <si>
    <t>Проведение мероприятий в сфере отдыха детей и их оздоровления, в том числе регионального форума организаторов детского отдыха «ЛЕТО ПЛЮС»</t>
  </si>
  <si>
    <t>Проведение форума; Срок завершения</t>
  </si>
  <si>
    <t>15 декабря</t>
  </si>
  <si>
    <t>4.6</t>
  </si>
  <si>
    <t>Организация и обеспечение сопровождения к месту отдыха и оздоровления детей, находящихся в трудной жизненной ситуации, в составе организованной группы и обратно</t>
  </si>
  <si>
    <t>Количество детей, обеспеченных услугами сопровождения к месту отдыха и обратно; Человек</t>
  </si>
  <si>
    <t>490</t>
  </si>
  <si>
    <t>1900</t>
  </si>
  <si>
    <t xml:space="preserve">Подпрограмма № 5
«Семья и дети в Архангельской области»
</t>
  </si>
  <si>
    <t>Организация и проведение межведомственных научно-профилактических семинаров по проблемам профилактики безнадзорности и правонарушений несовершеннолетних, изучению передового опыта профилактической и реабилитационной работы</t>
  </si>
  <si>
    <t>количество семинаров; единиц</t>
  </si>
  <si>
    <t>количество участников; человек</t>
  </si>
  <si>
    <t>118</t>
  </si>
  <si>
    <t>2.12.</t>
  </si>
  <si>
    <t>Приобретение автотранспорта и комплектующих для оснащения государственных организаций социального обслуживания семьи и детей, в том числе отделений профилактики безнадзорности и семейного неблагополучия государственных организаций социального обслуживания, также проведение ремонта имеющегося автотранспорта</t>
  </si>
  <si>
    <t>Количество приобретенного автотранспорта; единиц</t>
  </si>
  <si>
    <t xml:space="preserve">С учетом увеличения на 40 процентов стоимости планируемого к приобретению автомобиля, затрат на его содержание, администрацией государственного бюджетного комплексного учреждения Архангельской области «Архангельский центр социальной помощи семье и детям» принято решение о нецелесообразности приобретения автомобиля </t>
  </si>
  <si>
    <t>2.13.</t>
  </si>
  <si>
    <t>Приобретение компьютеров, ноутбуков и оргтехники  для оснащения государственных организаций социального обслуживания семьи и детей, в том числе отделений профилактики безнадзорности и семейного неблагополучия государственных организаций социального обслуживания</t>
  </si>
  <si>
    <t>Количество организаций социального обслуживания семьи и детей, оснащенных компьютерами, ноутбуками и оргтехникой; единиц</t>
  </si>
  <si>
    <t>Мероприятие выполнено не в полном объеме по причине не состоявшихся торгов</t>
  </si>
  <si>
    <t>2.18.</t>
  </si>
  <si>
    <t>Проведение работ по консервации объектов незавершенного строительства государственного бюджетного учреждения Архангельской области социального обслуживания детей с ограниченными возможностями «Котласский реабилитационный центр для детей с ограниченными возможностями</t>
  </si>
  <si>
    <t>Количество  объектов незавершенного строительства, на которых проведены работы по консервации; учреждений</t>
  </si>
  <si>
    <t>В рамках государственных контрактов, заключенных  между ГКУ АО «ГУКС» и ООО «ПМ «Аксиома», выполнены работы по обследованию объектов незавершённого строительства, получено экспертное заключение, осуществлена разработка технической документации по консервации трех корпусов на территории учреждения. Ввиду отсутствия финансирования в требуемом объеме по итогам электронного аукциона заключен государственный контракт от 18.12.2020  между ГКУ АО «ГУКС» и ООО «Реконструкция» на проведение работ по консервации на сумму 4 027,0 тыс. рублей. Срок выполнения работ – 31.03.2021</t>
  </si>
  <si>
    <t>3.9.</t>
  </si>
  <si>
    <t>Обеспечение работы  служб детского телефона доверия  в государственных организациях социального обслуживания семьи и детей</t>
  </si>
  <si>
    <t>Количество поступивших обращений; единиц</t>
  </si>
  <si>
    <t>808</t>
  </si>
  <si>
    <t>1602</t>
  </si>
  <si>
    <t>2118</t>
  </si>
  <si>
    <t>3500</t>
  </si>
  <si>
    <t>2836</t>
  </si>
  <si>
    <t>Предоставление услуги носит заявительный характер</t>
  </si>
  <si>
    <t>Количество несовершеннолетних, получивших помощь; человек</t>
  </si>
  <si>
    <t>420</t>
  </si>
  <si>
    <t>378</t>
  </si>
  <si>
    <t>855</t>
  </si>
  <si>
    <t>1074</t>
  </si>
  <si>
    <t>2100</t>
  </si>
  <si>
    <t>1578</t>
  </si>
  <si>
    <t xml:space="preserve">Подпрограмма № 6 «Повышение качества
жизни граждан пожилого возраста и инвалидов 
в Архангельской области»
</t>
  </si>
  <si>
    <t>4.2.</t>
  </si>
  <si>
    <t>Организация работы «мобильной бригады» (междисциплинарной бригады из специалистов по социальной работе, социальных работников, психологов, медицинских сотрудников) по предоставлению услуг населению с выездом в муниципальные образования Архангельской области</t>
  </si>
  <si>
    <t>Количество выездов «мобильных бригад» для предоставления выездных социальных услуг; единиц</t>
  </si>
  <si>
    <t>125</t>
  </si>
  <si>
    <t>250</t>
  </si>
  <si>
    <t>122</t>
  </si>
  <si>
    <t>Снижение количества выездов и граждан обусловлено введением ограничительных мероприятий в результате неблагоприятной эпидемиологической обстановки по новой коронавирусной инфекции (COVID-19) (соблюдение лицами старше 65 лет  рекомендованного режима изоляции в данный период, временное приостановление проведения профилактических медицинских осмотров, переносом сроков оказания всех видов плановой медицинской помощи кроме медицинской помощи, оказываемой в экстренной или неотложной формах)</t>
  </si>
  <si>
    <t>Количество граждан, которым оказаны социальные услуги при выездах «мобильных бригад»; человек</t>
  </si>
  <si>
    <t>750</t>
  </si>
  <si>
    <t>627</t>
  </si>
  <si>
    <t>1148</t>
  </si>
  <si>
    <t>1730</t>
  </si>
  <si>
    <t>4.15.1</t>
  </si>
  <si>
    <t>Улучшение социально-бытового положения отдельных категорий из числа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</si>
  <si>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Количество ветеранов Великой Отечественной войны (тружеников тыла), которым оказана адресная социальная помощь; человек</t>
  </si>
  <si>
    <t>20</t>
  </si>
  <si>
    <t>30</t>
  </si>
  <si>
    <t>4.15.2.</t>
  </si>
  <si>
    <t>Улучшение социально-бытового положения отдельных категорий из числа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7 мая 2008 года № 714 «Об обеспечении жильем ветеранов Великой Отечественной войны 1941 – 1945 годов», и ветеранов боевых действий</t>
  </si>
  <si>
    <t>Количество ветеранов боевых действий, которым оказана социальная помощь; человек</t>
  </si>
  <si>
    <t>4.24.</t>
  </si>
  <si>
    <t>Транспортное обслуживание инвалидов и детей-инвалидов специализированным транспортом государственных бюджетных учреждений социального обслуживания населения Архангельской области</t>
  </si>
  <si>
    <t>Количество выездов социального такси для предоставления транспортного обслуживания; единиц</t>
  </si>
  <si>
    <t>257</t>
  </si>
  <si>
    <t>394</t>
  </si>
  <si>
    <t>1055</t>
  </si>
  <si>
    <t>856</t>
  </si>
  <si>
    <t>Количество инвалидов и детей-инвалидов которым предоставлена услуга специализированного транспортного обслуживания; человек</t>
  </si>
  <si>
    <t>185</t>
  </si>
  <si>
    <t>182</t>
  </si>
  <si>
    <t>370</t>
  </si>
  <si>
    <t>216</t>
  </si>
  <si>
    <t>550</t>
  </si>
  <si>
    <t>519</t>
  </si>
  <si>
    <t>4.26.</t>
  </si>
  <si>
    <t>Осуществление доставки лиц старше 65 лет, проживающих в сельской местности, в медицинские организации, расположенные в Архангельской области, в том числе для проведения дополнительных скринингов на выявление отдельных социально значимых неинфекционных заболеваний, оказывающих вклад в структуру смертности населения, в рамках реализации федерального проекта «Разработка и реализация программы системной поддержки и повышения качества жизни граждан старшего поколения «Старшее поколение» национального проекта «Демография»</t>
  </si>
  <si>
    <t>Количество лиц старше 65 лет, проживающих в сельской местности, доставленных в медицинские организации, расположенные в Архангельской области; человек</t>
  </si>
  <si>
    <t>462</t>
  </si>
  <si>
    <t>484</t>
  </si>
  <si>
    <t>591</t>
  </si>
  <si>
    <t>4.27.</t>
  </si>
  <si>
    <t>Доставка медицинских работников из медицинских организаций к лицам старше 65 лет, проживающим в сельской местности, в целях оказания им медицинской помощи на дому, доставка лицам старше 65 лет, проживающим в сельской местности, лекарственных средств, медицинских изделий, продуктов питания и предметов первой необходимости, осуществляемые в период введенного режима повышенной готовности для органов управления и сил Архангельской территориальной подсистемы единой государственной системы предупреждения и ликвидации чрезвычайных ситуаций, введенного указом Губернатора Архангельской области от 17 марта 2020 года № 28-у</t>
  </si>
  <si>
    <t>Количество медицинских работников из медицинских организаций доставленных к лицам старше 65 лет, проживающим в сельской местности, в целях оказания им медицинской помощи на дому; человек</t>
  </si>
  <si>
    <t>Подпрограмма № 7 «Приоритетные социально значимые мероприятия в сфере социальной политики Архангельской области»</t>
  </si>
  <si>
    <t>Организация и проведение областных социально значимых мероприятий</t>
  </si>
  <si>
    <t>Количество детей-инвалидов, детей, находящихся в трудной жизненной ситуации, граждан пожилого возраста и инвалидов, членов многодетных семей, принявших участие в социально значимых мероприятиях; человек</t>
  </si>
  <si>
    <t>5000</t>
  </si>
  <si>
    <t>3421</t>
  </si>
  <si>
    <t>Количество проведенных областных социально значимых мероприятий; единиц</t>
  </si>
  <si>
    <t>19</t>
  </si>
  <si>
    <t>Заключение договора на разработку технического задания на создание сайта; Срок завершения</t>
  </si>
  <si>
    <t>2.3.</t>
  </si>
  <si>
    <t>Обеспечение отделений социальной защиты населения бланочной продукцией</t>
  </si>
  <si>
    <t>Количество граждан, обеспеченных удостоверениями многодетных семей, а также удостоверениями «Ветеран труда»; человек</t>
  </si>
  <si>
    <t>Отсутствие потребности в приобретении бланочной продукции</t>
  </si>
  <si>
    <t>Подпрограмма № 8 «Доступная среда»</t>
  </si>
  <si>
    <t>2.2.4.</t>
  </si>
  <si>
    <t>Проведение фестивалей, выставок, творческих конкурсов и иных мероприятий с участием инвалидов и их сверстников, не имеющих инвалидности</t>
  </si>
  <si>
    <t>Количество проведенных фестивалей, выставок, творческих конкурсов и иных мероприятий с участием инвалидов и их сверстников, не имеющих инвалидности; Единиц</t>
  </si>
  <si>
    <t>Подпрограмма № 9 «Право быть равным»</t>
  </si>
  <si>
    <t>5.6</t>
  </si>
  <si>
    <t>Организация и проведение круглых столов для родителей, воспитывающих детей-инвалидов, по вопросам реабилитации и реабилитации детей-инвалидов и детей с ограниченными возможностями здоровья; интеграции детей-инвалидов и семей, воспитывающих детей-инвалидов, в общество</t>
  </si>
  <si>
    <t>Количество проведенных круглых столов; Единиц</t>
  </si>
  <si>
    <t>ГП АО "Культура Русского Севера (2013 – 2024 годы)"</t>
  </si>
  <si>
    <t>1.2.12.1</t>
  </si>
  <si>
    <t>Гостиный двор по адресу: г. Архангельск, ул. Набережная Северной Двины, д. 85/86</t>
  </si>
  <si>
    <t>завершение предпроектное археологическое исследование подвалов винных и соляных складов; срок завершения</t>
  </si>
  <si>
    <t>3 ноября</t>
  </si>
  <si>
    <t>Развитие профессионального искусства и народного творчества, сохранение, возрождение и развитие народных художественных промыслов и ремесел</t>
  </si>
  <si>
    <t>количество посещений детских и кукольных театров (по отношению к уровню 2010 года); процентов</t>
  </si>
  <si>
    <t>127,7</t>
  </si>
  <si>
    <t>49,4</t>
  </si>
  <si>
    <t>количество посещений организаций культуры (профессиональных театров) (по отношению к уровню 2010 года); процентов</t>
  </si>
  <si>
    <t>139,6</t>
  </si>
  <si>
    <t>63,5</t>
  </si>
  <si>
    <t>2.8</t>
  </si>
  <si>
    <t>Обеспечение целевой поддержки проектов 
и специалистов сферы культуры, архивного дела, туризма  и образования  в сфере культуры и искусства Архангельской области, а также обеспечение выплат, связанных с предоставлением  работникам компенсации расходов на оплату стоимости проезда и провоза багажа к месту использования отпуска и обратно</t>
  </si>
  <si>
    <t>количество посещений организаций культуры 
(по отношению к уровню 2010 года); процентов</t>
  </si>
  <si>
    <t>62,8</t>
  </si>
  <si>
    <t>2.11.4</t>
  </si>
  <si>
    <t>Капитальный ремонт, авторский надзор, уплата коммунальных и прочих платежей по  объектам – государственным учреждениям, подведомственным министерству культуры</t>
  </si>
  <si>
    <t>разработка проектно – сметной документации на внутреннюю реконструкцию здания ГБУК АО «Архангельская областная научная ордена «Знак Почета» библиотека имени Н.А. Добролюбова»; срок завершения</t>
  </si>
  <si>
    <t>18 декабря</t>
  </si>
  <si>
    <t>Для заключения государственной экспертизы проекта потребовались дополнительные документы, в связи с чем  корректировалась проектная документация</t>
  </si>
  <si>
    <t>Несвоевременное исполнение поставщиком обязательств по государственному контракту</t>
  </si>
  <si>
    <t>ГП Развития сельского хозяйства и регулирования рынков сельскохозяйственной продукции, сырья и продовольствия Архангельской области</t>
  </si>
  <si>
    <t>Подпрограмма № 1 «Развитие агропромышленного комплекса Архангельской области»</t>
  </si>
  <si>
    <t>Создание условий по обеспечению финансовой устойчивости сельскохозяйственных товаропроизводителей</t>
  </si>
  <si>
    <t>доля прибыльных коллективных хозяйств в Архангельской области к общему количеству коллективных хозяйств; процентов</t>
  </si>
  <si>
    <t>65,1</t>
  </si>
  <si>
    <t xml:space="preserve">Ухудшение финансового состояния сельскохозяйственных товаропроизводителей Архангельской области вследствие увеличения себестоимости животноводческой продукции за счет увеличения стоимости кормов при отсутствии увеличения закупочной цены на молоко крупными молокоперерабатывающими организациями </t>
  </si>
  <si>
    <t>3.1.1.</t>
  </si>
  <si>
    <t>Поддержка элитного семеноводства</t>
  </si>
  <si>
    <t>картофеля; тонн</t>
  </si>
  <si>
    <t>Изменение потребности сельскохозяйственных организаций (производство собственных элитных семян картофеля, сокращение площадей под зерновыми культурами, отсутствие необходимости подсева многолетних трав)</t>
  </si>
  <si>
    <t>зерновых культур; тонн</t>
  </si>
  <si>
    <t>40</t>
  </si>
  <si>
    <t>многолетних трав; тонн</t>
  </si>
  <si>
    <t>0,3</t>
  </si>
  <si>
    <t>5.1.</t>
  </si>
  <si>
    <t>Поддержка укрепления и развития кадрового потенциала АПК</t>
  </si>
  <si>
    <t>количество молодых специалистов, получающих социальные гарантии, заключивших трудовые договоры с сельскохозяйственными организациями Архангельской области; чел.</t>
  </si>
  <si>
    <t>Завершение трудовых договоров по истечении срока, новые договоры будут заключены в 1 полугодии 2021 года</t>
  </si>
  <si>
    <t>5.2.1.</t>
  </si>
  <si>
    <t>Содействие оформлению сельскохозяйственными товаропроизводителями в собственность используемых ими  земельных участков из земель сельскохозяйственного назначения</t>
  </si>
  <si>
    <t>количество крестьянских фермерских) хозяйств, включая индивидуальных предпринимателей, осуществивших формирование земельных участков сельскохозяйственного назначения; единиц</t>
  </si>
  <si>
    <t>0</t>
  </si>
  <si>
    <t>Мероприятие не реализовывалось в 2020 году в связи с отсутствие заявителей</t>
  </si>
  <si>
    <t>5.6.</t>
  </si>
  <si>
    <t>Обеспечение продвижения продукции АПК на рынках Архангельской области и за ее пределами</t>
  </si>
  <si>
    <t>количество проведенных областных конкурсов в сфере сельского хозяйства; единиц</t>
  </si>
  <si>
    <t>5.7.2.</t>
  </si>
  <si>
    <t>Компенсация части затрат на водоснабжение при производстве молока</t>
  </si>
  <si>
    <t>количество сельскохозяйственных организаций Архангельской области, получающих компенсации на водоснабжение при производстве молока; единиц</t>
  </si>
  <si>
    <t>Подпрограмма № 2 «Развитие рыбохозяйственного комплекса Архангельской области»</t>
  </si>
  <si>
    <t>Строительство и модернизация судов рыбопромыслового флота, в том числе за счет выделения квот добычи (вылова) на инвестиционные цели</t>
  </si>
  <si>
    <t>производство рыбы  и продуктов рыбных переработанных и консервированных (выпуск рыбопродукции) на судах рыбопромыслового флота; тыс. тонн</t>
  </si>
  <si>
    <t>12,5</t>
  </si>
  <si>
    <t>23,4</t>
  </si>
  <si>
    <t>70</t>
  </si>
  <si>
    <t>39,9</t>
  </si>
  <si>
    <t>43</t>
  </si>
  <si>
    <t xml:space="preserve">Мероприятие не выполнено по причине перерегистрации в другой регион ООО «Пелагика», имеющего часть квот на добычу (вылов) водных биоресурсов  с объемом добычи порядка 40 тысяч тонн. Квоты для Архангельской области были уменьшены рыболовные участки не сформированы, (и соответственно, не проведены по ним конкурсы) в связи с действовавшими новыми требованиями формирования рыболовных участков – запрет формирования  на линиях судового хода . Указанные ограничения были сняты в ноябре 2020 года. Ввиду длительной процедуры согласований с органами государственной власти, научными организациями, муниципальным образованиями, рыболовные участки  до конца 2020 года были не сформированы </t>
  </si>
  <si>
    <t>Определение границ рыбопромысловых участков</t>
  </si>
  <si>
    <t>количество новых сформированных рыболовных участков; единиц</t>
  </si>
  <si>
    <t>Проведение соревнований по спортивной ловле</t>
  </si>
  <si>
    <t>количество проведенных соревнований по спортивной ловле; единиц</t>
  </si>
  <si>
    <t>Подпрограмма № 4 «Развитие мелиорации земель сельскохозяйственного назначения Архангельской области»</t>
  </si>
  <si>
    <t>Проведение культуртехнических мероприятий на мелиорируемых землях, вовлекаемых в сельскохозяйственный оборот в Архангельской области</t>
  </si>
  <si>
    <t>вовлечение в оборот выбывших сельскохозяйственных угодий за счет проведения культуртехнических мероприятий; тыс. гектаров</t>
  </si>
  <si>
    <t>0,400</t>
  </si>
  <si>
    <t>Мероприятие не выполнялось по причине отсутствия потребности</t>
  </si>
  <si>
    <t>ГП АО «Обеспечение качественным, доступным жильем и объектами инженерной инфраструктуры населения Архангельской области»</t>
  </si>
  <si>
    <t>Подпрограмма № 1 «Создание условий для обеспечения доступным и комфортным жильем жителей Архангельской области»</t>
  </si>
  <si>
    <t>Предоставление доступного и комфортного жилья 60 процентам семей, проживающих в Архангельской области и желающих улучшить свои жилищные условия, включая граждан - членов жилищно-строительных кооперативов, и ветеранам Великой Отечественной войны (строительство и приобретение жилья, в том числе для использования в качестве маневренного жилищного фонда, и объектов инженерной инфраструктуры)</t>
  </si>
  <si>
    <t>количество реконструированных многоквартирных домов; единиц</t>
  </si>
  <si>
    <t>ГП АО "Содействие занятости населения Архангельской области, улучшение условий и охраны труда"</t>
  </si>
  <si>
    <t>Подпрограмма № 1 «Активная политика занятости и социальная поддержка безработных граждан (2014 – 2024 годы)»</t>
  </si>
  <si>
    <t>количество  специальных рабочих мест для трудоустройства многодетных родителей, родителей, воспитывающих детей-инвалидов; единиц</t>
  </si>
  <si>
    <t xml:space="preserve">Недостаточное количество работодателей, обратившихся в службу занятости в целях  возмещения затрат, понесенных на создание рабочих мест
</t>
  </si>
  <si>
    <t>Подпрограмма № 2 «Улучшение условий и охраны труда в области (2014 – 2024 годы)»</t>
  </si>
  <si>
    <t>6.2.</t>
  </si>
  <si>
    <t>Проведение обмена опытом работы с выездом в органы по труду субъектов Российской Федерации</t>
  </si>
  <si>
    <t>количество проведенных  мероприятий; единиц</t>
  </si>
  <si>
    <t>Мероприятия не выполнено в связи с реализацией мер по профилактике и снижению рисков распространения новой коронавирусной инфекции COVID-19</t>
  </si>
  <si>
    <t>Подпрограмма № 5 «Повышение мобильности трудовых ресурсов (2015 – 2023 годы)»</t>
  </si>
  <si>
    <t>1.3.</t>
  </si>
  <si>
    <t>Обеспечение перечисления средств финансовой поддержки работодателям, привлекающим трудовые ресурсы из субъектов Российской Федерации, не включенных в перечень приоритетных, в соответствии с сертификатом</t>
  </si>
  <si>
    <t>численность граждан из субъектов Российской Федерации трудоустроенных на постоянную работу и получивших финансовую поддержку; человек</t>
  </si>
  <si>
    <t>Мероприятие выполнено не в полном объём в виду снижения возможности выезда и трудоустройства граждан их других регионов в связи с введением ограничительных мероприятий, связанными с недопущением распространения новой коронавирусной инфекции</t>
  </si>
  <si>
    <t>Подпрограмма № 6 «Оказание содействия добровольному переселению в Архангельскую область соотечественников, проживающих за рубежом (2016 – 2024 годы)»</t>
  </si>
  <si>
    <t>Организация оказания медицинской помощи участникам Государственной программы Российской Федерации и членам их семей, переселившимся на постоянное место жительства в Архангельскую область, на условиях территориальной программы государственных гарантий бесплатного оказания гражданам медицинской помощи в Архангельской области</t>
  </si>
  <si>
    <t>численность участников Государственной программы Российской Федерации, получивших медицинскую помощь на условиях территориальной программы государственных гарантий бесплатного оказания гражданам медицинской помощи в Архангельской области; человек</t>
  </si>
  <si>
    <t>Граждане из числа участников Государственной программы Российской Федерации и членов их семей, переселивших на постоянное место жительства в Архангельскую область, за медицинской помощью не обращались</t>
  </si>
  <si>
    <t>Подпрограмма № 7 «Содействие занятости инвалидов, в том числе инвалидов молодого возраста при получении ими профессионального образования и последующем трудоустройстве, а также инвалидов, нуждающихся в сопровождаемом содействии их занятости (2018 – 2024 годы)»</t>
  </si>
  <si>
    <t>Организация сопровождения инвалидов молодого возраста при получении ими профессионального образования и содействия  в последующем трудоустройстве</t>
  </si>
  <si>
    <t>доля трудоустроенных инвалидов из числа выпускников в общей численности инвалидов из числа выпускников; процентов</t>
  </si>
  <si>
    <t>27,9</t>
  </si>
  <si>
    <t>Низкая мотивация к поиску работы выпускников из числа инвалидов (более 50 процентов инвалидов из числа обратившихся в службу занятости населения за содействием в поиске работы снимаются с учета по причинам неявки или отказа от услуг), невозможность трудоустройства по причине состояния здоровья, желание выпускников продолжить профессиональное обучение (в 2020 году завершили профессиональное обучение 43 выпускника, из них продолжили профессиональное обучение 8 человек, нуждались в трудоустройстве 35 человек, трудоустроены 12 человек), введение ограничительных мер в связи с коронавирусной инфекцией</t>
  </si>
  <si>
    <t>Содействие трудоустройству незанятых инвалидов, в том числе инвалидов молодого возраста, на созданные (оснащенные) для них рабочие места</t>
  </si>
  <si>
    <t>количество созданных рабочих мест для трудоустройства незанятых инвалидов; единиц</t>
  </si>
  <si>
    <t>27</t>
  </si>
  <si>
    <t>Недостаточное количество работодателей, обратившихся в службу занятости в целях возмещения затрат, понесенных на создание рабочих мест</t>
  </si>
  <si>
    <t>ГП АО "Обеспечение общественного порядка, профилактика преступности, коррупции, терроризма, экстремизма и незаконного потребления наркотических средств и психотропных веществ в Архангельской области"</t>
  </si>
  <si>
    <t>Подпрограмма № 2. «Профилактика преступлений и иных правонарушений в Архангельской области»</t>
  </si>
  <si>
    <t>1.9</t>
  </si>
  <si>
    <t>Повышение квалификации и обучение специалистов государственного бюджетного учреждения Архангельской области для детей, нуждающихся в психолого-педагогической и медико-социальной помощи, «Центр психолого-медико-социального сопровождения «Надежда»</t>
  </si>
  <si>
    <t>количество специалистов прошедших обучение; человек</t>
  </si>
  <si>
    <t>160</t>
  </si>
  <si>
    <t>Подпрограмма № 5. Противодействие коррупции в Архангельской области»</t>
  </si>
  <si>
    <t>Проведение региональных (межрегиональных) конференций по вопросам противодействия коррупции</t>
  </si>
  <si>
    <t>Количество проведенных мероприятий (научно-практических конференций, обучающих семинаров, круглых столов) по вопросам противодействия коррупции; единиц</t>
  </si>
  <si>
    <t>ГП АО "Защита населения и территории Архангельской области от чрезвычайных ситуаций, обеспечение пожарной безопасности и безопасности людей на водных объектах"</t>
  </si>
  <si>
    <t>Подпрограмма № 1. «Пожарная безопасность на территории Архангельской области»</t>
  </si>
  <si>
    <t>выполнение проектных работ для строительства объекта «Пожарное депо ГКУ «ОГПС №21» на 4 автомашины в городе Сольвычегодске.; срок выполнения</t>
  </si>
  <si>
    <t>Мероприятие не выполнено в связи с отсутствием  положительного заключения государственной экспертизы проектной документации (ГАУ АО «Управление государственной экспертизы»)</t>
  </si>
  <si>
    <t>2.11</t>
  </si>
  <si>
    <t>Обеспечение населенных пунктов Архангельской области источниками наружного противопожарного водоснабжения</t>
  </si>
  <si>
    <t>завершение работ по ремонту пожарных водоемов; срок завершения</t>
  </si>
  <si>
    <t>2.12</t>
  </si>
  <si>
    <t>Укрепление материально-технической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t>
  </si>
  <si>
    <t>реализация мероприятий по укреплению материально-технической базы и развитию противопожарной инфраструктуры; срок завершения</t>
  </si>
  <si>
    <t xml:space="preserve"> Мероприятие не выполнено по причине задержки поставок оборудования в связи действующими ограничениями, введенными по недопущению распространения новой коронавирусной инфекции (COVID-2019). 01.03.2021 работы выполнены в 3 школах г. Архангельска №10, 20, 36, 20.04.2021 в школе № 77, гимназии № 25 проведена приемка выполненных работ</t>
  </si>
  <si>
    <t>Подпрограмма № 2. «Снижение рисков и смягчение последствий чрезвычайных ситуаций, а также обеспечение безопасности людей на водных объектах»</t>
  </si>
  <si>
    <t>1.6</t>
  </si>
  <si>
    <t>Создание, хранение 
и восполнение резерва материальных средств для ликвидации чрезвычайных ситуаций</t>
  </si>
  <si>
    <t>заключение договоров на срочную поставку продовольствия в состав резерва; срок завершения</t>
  </si>
  <si>
    <t>30 мая</t>
  </si>
  <si>
    <t>Мероприятия не выполнено  по причине значительных колебаний цен на продовольственные товары в  III и IV кварталах 2020 года, в связи с действующими ограничениями, введенными по недопущению распространения новой коронавирусной инфекции (COVID-2019) торговые предприятия отказываются заключать договоры с фиксированной стоимостью на продовольственные товары на срочную поставку товаров, ссылаясь на то, что они могут не выполнить условия договоров</t>
  </si>
  <si>
    <t>Финансовое обеспечение деятельности государственного бюджетного учреждения Архангельской области "Служба спасения имени И.А. Поливаного"</t>
  </si>
  <si>
    <t>количество обученных должностных лиц и специалистов  гражданской обороны, Архангельской территориальной подсистемы единой государственной системы предупреждения и ликвидации чрезвычайных ситуаций (РСЧС) и организаций в сфере гражданской обороны, защиты от ЧС, обеспечения радиационной и пожарной безопасности и безопасности людей на водных объектах; человек</t>
  </si>
  <si>
    <t>492</t>
  </si>
  <si>
    <t>1017</t>
  </si>
  <si>
    <t>1122</t>
  </si>
  <si>
    <t>1104</t>
  </si>
  <si>
    <t>1400</t>
  </si>
  <si>
    <t>1239</t>
  </si>
  <si>
    <t>ГП АО "Охрана окружающей среды, воспроизводство и использование природных ресурсов в Архангельской области"</t>
  </si>
  <si>
    <t>Подпрограмма № 1 «Охрана окружающей среды и обеспечение экологической безопасности Архангельской области»</t>
  </si>
  <si>
    <t>Разработка территориальной схемы обращения с отходами производства и потребления в Архангельской области и создание регионального кадастра отходов</t>
  </si>
  <si>
    <t>заключение контракта на выполнение работ по созданию информационной системы (регионального кадастра отходов); срок завершения</t>
  </si>
  <si>
    <t>Мероприятие не выполнено  по причине отсутствия регулирующего нормативно-правового акта (Положения о региональном кадастре отходов). Разработка Положения о региональном кадастре отходов и заключение контракта на выполнение работ по созданию информационной системы планируется в 2021 году</t>
  </si>
  <si>
    <t>приобретение аппаратно-программных средств для функционирования регионального кадастра отходов; срок завершения</t>
  </si>
  <si>
    <t>25 декабря</t>
  </si>
  <si>
    <t>количество обустроенных объектов размещения твердых коммунальных обходов в соответствии с предъявляемыми требованиями; штук</t>
  </si>
  <si>
    <t>Мероприятие выполнено не в полном объеме в связи с нецелесообразностью обустройства объекта в МО «Емецкое» по причине недостаточной остаточной вместимости объекта для эксплуатации до 01.01.2023</t>
  </si>
  <si>
    <t>Ликвидация последствий загрязнения земель нефтепродуктами</t>
  </si>
  <si>
    <t>проведение изыскательских работ загрязненного участка, расположенного в водоохраной зоне реки Северная Двина в районе населенного пункта Красное Приморского района Архангельской области; срок завершения</t>
  </si>
  <si>
    <t xml:space="preserve">Мероприятие не выполнено по причине не поступления от подрядчика отчетной документации о проведении изыскательских работ на нефтезагрязненном участке. Государственный контракт от 17.06.2020 № 11 на разработку проекта расторгнут. В 2021 году планируется заключение нового государственного контракта
</t>
  </si>
  <si>
    <t>2.5.</t>
  </si>
  <si>
    <t>Разработка проектно-сметной документации на рекультивацию полигонов размещения отходов, выводимых из эксплуатации</t>
  </si>
  <si>
    <t>проведение  государственной экспертизы результатов инженерных изысканий полигонов твердых бытовых отходов Архангельска, Северодвинска, Новодвинска; срок завершения</t>
  </si>
  <si>
    <t xml:space="preserve">Мероприятие не выполнено в связи с устранением замечаний государственной экспертизы в ФАУ «Главгосэкспертиза России» по материалам инженерных изысканий. Материалы инженерных изысканий по полигону г. Новодвинска находятся на экспертизе. За неисполнение обязательств по 1 этапу работ по контракту будет применены штрафные санкции.
</t>
  </si>
  <si>
    <t>2.7.</t>
  </si>
  <si>
    <t>Разработка проектно-сметной документации 
на ликвидацию объектов накопленного экологического ущерба</t>
  </si>
  <si>
    <t>заключение  контракта; срок завершения</t>
  </si>
  <si>
    <t xml:space="preserve">Мероприятие не выполнено по причине отсутствия заявок на участие,  два конкурса признаны  не состоявшимися </t>
  </si>
  <si>
    <t>ликвидация несанкционированных свалок и  захламлений земель отходами на территориях муниципальных образований; срок завершения</t>
  </si>
  <si>
    <t xml:space="preserve">Ликвидировано 14 свалок, к оплате принята одна свалка в Шенкурском лесничестве, по остальным свалкам в оплате отказано, в связи с тем, что предоставленные подрядчиком пакеты документов не соответствовали условиям государственного контракта </t>
  </si>
  <si>
    <t>4.1</t>
  </si>
  <si>
    <t>Инвентаризация ООПТ</t>
  </si>
  <si>
    <t>заключение контракта; срок завершения</t>
  </si>
  <si>
    <t>Мероприятие не выполнено в связи с изменением подходов и методов проведения инвентаризации. Потребовалась доработка технических заданий на проведение инвентаризации и повторное обоснование начальной (максимальной) цены оказания услуг, что привело к переносу срока закупки на  октябрь 2020 года. Заключено 4 контракта: один контракт от 30.11.2020,   два контракта от 11.01.2021  и   один контракт от  13.01.2021  на проведение инвентаризации  46 памятников природы в   Вельском, Виноградовском, Лешуконском, Каргопольском районах</t>
  </si>
  <si>
    <t>4.3.</t>
  </si>
  <si>
    <t>Проведение мероприятий, направленных на развитие ООПТ</t>
  </si>
  <si>
    <t>поставка автомобильных прицепов; срок завершения</t>
  </si>
  <si>
    <t>5.4.</t>
  </si>
  <si>
    <t>Инструментальное обеспечение регионального государственного экологического надзора</t>
  </si>
  <si>
    <t>исполнение областного бюджета на инструментальное обеспечение регионального государственного надзора; процентов</t>
  </si>
  <si>
    <t>17,8</t>
  </si>
  <si>
    <t>86,5</t>
  </si>
  <si>
    <t>Мероприятие не выполнено по причине ввиду отсутствия заявок в ноябре, декабре лабораторные исследования не проводились</t>
  </si>
  <si>
    <t>Подпрограмма № 2 «Воспроизводство и использование природных ресурсов»</t>
  </si>
  <si>
    <t>Финансовое обеспечение исполнения отдельных переданных полномочий Российской Федерации в области охраны и защиты животного мира</t>
  </si>
  <si>
    <t>исполнение бюджета к утвержденному плану года; процентов</t>
  </si>
  <si>
    <t>Мероприятие не выполнено ввиду отсутствия  конкретных условий  реализации мероприятий в Порядке по расходованию субвенции</t>
  </si>
  <si>
    <t>Подпрограмма № 3 «Развитие водохозяйственного комплекса Архангельской области»</t>
  </si>
  <si>
    <t>Выполнение мероприятий по обеспечению исполнения отдельных полномочий Российской Федерации в области водных отношений</t>
  </si>
  <si>
    <t>количество заключенных государственных контрактов; единиц</t>
  </si>
  <si>
    <t xml:space="preserve">Не заключено два контракта в связи с переносом начала реализации проекта по расчистке оз. Плесцы на 2021 год и в связи с несогласованием Федеральным агентством водных ресурсов мероприятия по  разработке проектно-сметной документации на расчистку русел водных объектов системы оз. Волохница 
</t>
  </si>
  <si>
    <t>2.2.1</t>
  </si>
  <si>
    <t>Укрепление правого берега реки Северная Двина в Соломбальском территориальном округе г. Архангельска на участке от ул. Маяковского до ул. Кедрова (I  этап, 1 подэтап)</t>
  </si>
  <si>
    <t>выполнение работ по устройству шпунтовой стенки; срок завершения</t>
  </si>
  <si>
    <t xml:space="preserve">Мероприятие не выполнено в связи с корректировкой проектной документации из-за изменения глубины дна реки вдоль лицевой шпунтовой стенки. Положительное заключение государственной экспертизы по откорректированной проектной документации получено, в 2021 году предусмотрено продолжение работ
</t>
  </si>
  <si>
    <t>2.2.3</t>
  </si>
  <si>
    <t>Укрепление правого берега реки Северная Двина в Соломбальском территориальном округе г. Архангельска на участке от ул. Маяковского до ул. Кедрова (I  этап, 2 подэтап)</t>
  </si>
  <si>
    <t>выполнение работ по устройству сетей ливневой канализации; срок завершения</t>
  </si>
  <si>
    <t>Мероприятие не выполнено ввиду низкого освоения средств на выполнение работ I этапа, 1 подэтапа   работы по устройству сетей ливневой канализации выполнялись частично. В 2021 году предусмотрено продолжение работ по устройству сетей ливневой канализации</t>
  </si>
  <si>
    <t>Осуществление функций авторского и археологического надзоров,  возмещение затрат, понесенных в ходе проведения надзоров, корректировка проектно-сметной документации и проведение проверки достоверности определения сметной стоимости по объекту "Укрепление правого берега реки Северная Двина в Соломбальском территориальном округе г. Архангельска на участке от улицы Маяковского до улицы Кедрова" (I этап, 1 подэтап, I этап, 2 подэтап и II этап)</t>
  </si>
  <si>
    <t>осуществление авторского надзора по объекту  на I этапе, 1 и 2 подэтапах выполнения  работ; срок завершения</t>
  </si>
  <si>
    <t>Мероприятие не выполнено ввиду низкого освоения средств по объекту авторский и археологический надзор осуществлялся по фактически выполненным работам</t>
  </si>
  <si>
    <t>осуществление археологического надзора  по объекту на I этапе, 1 и 2 подэтапах выполнения работ; срок завершения</t>
  </si>
  <si>
    <t>ГП АО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t>
  </si>
  <si>
    <t xml:space="preserve">Подпрограмма № 1 «Спорт Беломорья. Спорт высших достижений и подготовка спортивного резерва»
</t>
  </si>
  <si>
    <t>Медицинская помощь участникам при проведении официальных физкультурных мероприятий и спортивных мероприятий Архангельской области</t>
  </si>
  <si>
    <t>Количество  обеспеченных медицинской помощью официальных физкультурных и спортивных мероприятий Архангельской области; единиц</t>
  </si>
  <si>
    <t>126</t>
  </si>
  <si>
    <t>245</t>
  </si>
  <si>
    <t>4.4.</t>
  </si>
  <si>
    <t>Обеспечение контроля за функциональной подготовкой, состоянием здоровья, обеспечение лечения, реабилитации и профилактики спортсменов спортивных сборных команд Архангельской области</t>
  </si>
  <si>
    <t>количество обеспеченных лечением, реабилитации и профилактики спортсменов спортивных сборных команд Архангельской области; человек</t>
  </si>
  <si>
    <t>6.8.</t>
  </si>
  <si>
    <t>Строительство объекта "Многоцелевой физкультурно-оздоровительный объект (хоккейная аренда "Ледовый дворец") в г. Коряжма"</t>
  </si>
  <si>
    <t>Низкий уровень строительной готовности объекта связан с выявленной в процессе производства строительных работ необходимостью корректировки проектной документации</t>
  </si>
  <si>
    <t>6.10.</t>
  </si>
  <si>
    <t>Строительство крытого тренировочного катка с искусственным льдом по адресу: Архангельская область, г. Вельск, ул. Горького - ул. Некрасова (парк РМЗ)</t>
  </si>
  <si>
    <t>Муниципальное образование отказалось от реализации данного объекта в связи с инициативой частного инвестора, по строительству аналогичного объекта</t>
  </si>
  <si>
    <t>6.11.1.</t>
  </si>
  <si>
    <t>Спортивный комплекс на стадионе "Север" в г. Северодвинске. Плавательный бассейн с внеплощадочными инженерными сетями - 1 этап</t>
  </si>
  <si>
    <t>В связи с отсутствием положительного решения о включении строительного объекта в Федеральную адресную инвестиционную программу. Строительство объекта возможно только с помощью федеральных средств (высокая стоимость работ)</t>
  </si>
  <si>
    <t>6.15.</t>
  </si>
  <si>
    <t>Строительство физкультурно-оздоровительного комплекса в п. Коноша Коношского района Архангельской области</t>
  </si>
  <si>
    <t>ввод объекта в эксплуатацию; срок завершения</t>
  </si>
  <si>
    <t>В связи с необходимостью в течение 2020 года муниципальным образованием выполнялись работы по корректировке ПСД</t>
  </si>
  <si>
    <t>6.20.</t>
  </si>
  <si>
    <t>Реконструкция физкультурно-оздоровительного комплекса "Дельфин" в г. Северодвинске Архангельской области</t>
  </si>
  <si>
    <t>разработка проектно-сметной документации; срок завершения</t>
  </si>
  <si>
    <t>В течение 2020 года муниципальным образованием была разработана проектно-сметная документация и направлена  на государственную экспертизу. Получено  отрицательное  заключение.</t>
  </si>
  <si>
    <t>6.27.</t>
  </si>
  <si>
    <t>Строительство объекта "Лыжный биатлонный комплекс "Онега" Архангельская область, Онежский район, г. Онега (1-й этап строительства)"</t>
  </si>
  <si>
    <t>Частным инвестором была разработана проектно-сметная документация, пройдена государственная экспертиза. Муниципальным образованием проект не поддержен из-за отсутствия учета интересов муниципального образования в этапности реализации данного проекта</t>
  </si>
  <si>
    <t>6.30.</t>
  </si>
  <si>
    <t>Строительство спортивного зала ГБНОУ АО "АГЛ имени М.В.Ломоносова" по адресу: г. Архангельск, набережная Северной Двины, д. 25, в рамках федерального проекта "Спорт - норма жизни" национального проекта "Демография"</t>
  </si>
  <si>
    <t>В связи с необходимостью проведения археологических раскопок строительство объекта не осуществлялось</t>
  </si>
  <si>
    <t>6.31.</t>
  </si>
  <si>
    <t>Строительство и реконструкция плоскостных сооружений, стоимость строительства и реконструкции каждого из которых составляет не более 25 млн. рублей.</t>
  </si>
  <si>
    <t>6.32.</t>
  </si>
  <si>
    <t>Проектирование и строительство крытого футбольного манежа на стадионе "Север" в г. Северодвинске Архангельской области</t>
  </si>
  <si>
    <t>разработка, согласование протокола о намерении по проектированию и строительству объекта; срок завершения</t>
  </si>
  <si>
    <t>Инвестор отказался от проекта на стадии согласования проекта протокола о намерении</t>
  </si>
  <si>
    <t>подписание протокола о намерении по проектированию и строительству объекта; срок завершения</t>
  </si>
  <si>
    <t>Отказ инвестора от строительства объекта</t>
  </si>
  <si>
    <t>6.33</t>
  </si>
  <si>
    <t>Возведение тренировочного манежа на стадионе "Труд" в г. Архангельске</t>
  </si>
  <si>
    <t>Затягивание сроков разработки проектно-сметной документации и прохождения экспертизы. Контракт на возведение манежа был заключен в более поздние сроки (09.10.2020), что не позволило возвести объект до конца 2020 года</t>
  </si>
  <si>
    <t>8.6.</t>
  </si>
  <si>
    <t>Капитальный ремонт спортивных залов детско-юношеских спортивных школ</t>
  </si>
  <si>
    <t>Количество отремонтированных спортивных объектов; единиц</t>
  </si>
  <si>
    <t>По причине отсутствия средств мероприятие в 2020 году не реализовывалось</t>
  </si>
  <si>
    <t>10.2.</t>
  </si>
  <si>
    <t>Сертификация спортивных объектов муниципальных учреждений</t>
  </si>
  <si>
    <t>Количество сертифицированных спортивных объектов; единиц</t>
  </si>
  <si>
    <t xml:space="preserve"> В связи с отсутствием заявок от муниципальных организаций средства на данное мероприятие не были выделены</t>
  </si>
  <si>
    <t>Подпрограмма № 2 «Молодежь Архангельской области»</t>
  </si>
  <si>
    <t>Организация информационного обеспечения государственной молодежной политики</t>
  </si>
  <si>
    <t>разработано мобильное приложение для молодежи; срок разработки</t>
  </si>
  <si>
    <t>Мобильное приложение не разработано, так как в ходе проведения неоднократных консультаций со специалистами эффективный механизм реализации такого приложения не найден, кроме того, расчетная стоимость разработки такого приложения составила бы более 5 млн. рублей. Предусмотренные на указанные цели финансовые средства в размере 1 млн. рублей возвращены в областной бюджет</t>
  </si>
  <si>
    <t>Подпрограмма № 3 «Гражданско-патриотическое воспитание граждан Российской Федерации и допризывная подготовка молодежи в Архангельской области»</t>
  </si>
  <si>
    <t>Выполнение государственного задания на оказание государственных услуг (выполнение работ) государственным автономным учреждением Архангельской области "Региональный центр патриотического воспитания и подготовки граждан (молодежи) к военной службе"</t>
  </si>
  <si>
    <t>организация деятельности специализированных (профильных) лагерей; единиц</t>
  </si>
  <si>
    <t>количество участников специализированных (профильных) лагерей; человек</t>
  </si>
  <si>
    <t>1.4.</t>
  </si>
  <si>
    <t>Проведение мероприятий по допризывной подготовке молодежи и профессиональной ориентации при подготовке молодежи к службе в Вооруженных силах Российской Федерации</t>
  </si>
  <si>
    <t>Количество проведенных профильных лагерей; единиц</t>
  </si>
  <si>
    <t>1.6.</t>
  </si>
  <si>
    <t>Проведение финалов военно-спортивных игр «Зарничка» и «Зарница», обеспечение участия школьников во Всероссийских играх и соревнованиях</t>
  </si>
  <si>
    <t>Количество участников военно-спортивных игр; человек</t>
  </si>
  <si>
    <t>Количество муниципальных образований Архангельской области, направивших команды для участия в мероприятии; единиц</t>
  </si>
  <si>
    <t>1.8</t>
  </si>
  <si>
    <t>Развитие юнармейского движения на территории Архангельской области</t>
  </si>
  <si>
    <t>количество проведенных профильных юнармейских смен в детских оздоровительных лагерях; единиц</t>
  </si>
  <si>
    <t>ГП АО "Формирование современной городской среды в Архангельской области"</t>
  </si>
  <si>
    <t>Мероприятия по формированию современной городской среды</t>
  </si>
  <si>
    <t>количество благоустроенных дворовых территорий; единиц</t>
  </si>
  <si>
    <t>52</t>
  </si>
  <si>
    <t>69</t>
  </si>
  <si>
    <t>105</t>
  </si>
  <si>
    <t>90</t>
  </si>
  <si>
    <t>Плановое значение по данному показателю устанавливается на основании заявок муниципалитетов. Данный показатель не установлен паспортом федерального проекта. Министерство ТЭК и ЖКХ АО ориентировано Минстроем РФ на достижение основного показателя – благоустройство общественных территорий, выполнение по которому 152 процента. При достижении значения показателя по благоустройству общественных территорий оставшиеся средства субсидии направляются на финансирование мероприятий по благоустройству дворовых территорий</t>
  </si>
  <si>
    <t>ГП АО "Развитие торговли в Архангельской области"</t>
  </si>
  <si>
    <t>13.</t>
  </si>
  <si>
    <t>Упорядочение  торговли на розничных рынках в соответствии с требованиями Федерального  закона от 30 декабря 2006 года №  271-ФЗ  «О розничных рынках и о внесении изменений в Трудовой кодекс Российской Федерации»</t>
  </si>
  <si>
    <t>модернизация действующих сельскохозяйственных рынков на территориях муниципальных образований Архангельской области к 2020 году; срок завершения</t>
  </si>
  <si>
    <t>Мероприятие не выполнено по причине отсутствия финансирования в ООО «Центральный рынок» (г. Архангельск)</t>
  </si>
  <si>
    <t>ГП АО "Развитие лесного комплекса Архангельской области"</t>
  </si>
  <si>
    <t>Подпрограмма № 2 «Воспроизводство лесов»</t>
  </si>
  <si>
    <t>Формирование запаса лесных семян для лесовосстановления и лесоразведения на всех участках вырубленных и погибших лесных насаждений (в рамках реализации федерального проекта "Сохранение лесов" национального проекта "Экология")</t>
  </si>
  <si>
    <t>заготовка семян лесных растений на объектах лесного семеноводства, а также в плюсовых и нормальных насаждениях; кг</t>
  </si>
  <si>
    <t>108,2</t>
  </si>
  <si>
    <t>130,2</t>
  </si>
  <si>
    <t>155,2</t>
  </si>
  <si>
    <t>Отсутствие урожая семян</t>
  </si>
  <si>
    <t>Подпрограмма № 3 «Охрана и защита лесов»</t>
  </si>
  <si>
    <t>Проведение профилактики возникновения, локализация и ликвидация очагов вредных организмов</t>
  </si>
  <si>
    <t>предупреждение возникновения вредных организмов, профилактические мероприятия по защите лесов, биотехнические мероприятия; га</t>
  </si>
  <si>
    <t>6,25</t>
  </si>
  <si>
    <t>9,5</t>
  </si>
  <si>
    <t>Проведение биотехнических мероприятий возможно только на участках, включенных в реестр государственного лесопатологического мониторинга и по результатам лесопатологических обследований. В реестрах ГЛПМ такие участки отсутствуют</t>
  </si>
  <si>
    <t>предупреждение возникновения вредных организмов, санитарно-оздоровительные мероприятия (сплошные санитарные рубки, выборочные санитарные рубки, уборка неликвидной древесины); га</t>
  </si>
  <si>
    <t>8,5</t>
  </si>
  <si>
    <t>2590,35</t>
  </si>
  <si>
    <t>728,35</t>
  </si>
  <si>
    <t>Минлеспромом АО утверждены акты ЛПО от арендаторов лесных участков на площади 5,5 тыс.га. Арендаторами внесены изменения в проекты освоения лесов. Большая часть погибших и поврежденных насаждений находится на арендованной территории ООО «ГК «УЛК». Учитывая, что проведение санитарно-оздоровительных мероприятий (далее – СОМ) по уборке ветровальной древесины осуществляется в счет ежегодной расчетной лесосеки, а к моменту получения разрешения на проведение СОМ практически вся допустимая ежегодная лесосека была вырублена, в 2020 году вырублено 465,2 га. Проведение СОМ на оставшейся части запланировано на 2021 год. В связи со сложностью выполнения работ по уборке ветровальной древесины, глубокому снежному покрову и сжатыми срокам выполнения работ в срок до 31.12.2020 дополнительные объемы СОМ по государственному заданию выполнены на площади 113,05 га</t>
  </si>
  <si>
    <t>ГП АО "Совершенствование государственного управления и местного самоуправления, развитие институтов гражданского общества в Архангельской области"</t>
  </si>
  <si>
    <t>Подпрограмма № 2 «Развитие системы информирования населения Архангельской области о деятельности органов государственной власти Архангельской области, поддержка и развитие печатных средств массовой информации»</t>
  </si>
  <si>
    <t>Модернизация материально-технической базы и развитие государственных автономных учреждений Архангельской области в сфере средств массовой информации, подведомственных администрации Губернатора   и Правительства</t>
  </si>
  <si>
    <t>компенсация оплаты к месту отдыха; процентов</t>
  </si>
  <si>
    <t>36,3</t>
  </si>
  <si>
    <t>Мероприятие не выполнено по причине введенных ограничительных мер, направленных на  обеспечение санитарно-эпидемиологического благополучия населения в связи с распространением новой коронавирусной инфекции (COVID-19)</t>
  </si>
  <si>
    <t>Подпрограмма № 3 «Развитие территориального общественного самоуправления в Архангельской области»</t>
  </si>
  <si>
    <t>2.4.</t>
  </si>
  <si>
    <t>Организация  ежегодной межрегиональной конференции по  вопросам местного самоуправления и ежегодного фестиваля «ТОСы Поморья»</t>
  </si>
  <si>
    <t>проведение межрегионального фестиваля «ТОСы Поморья»; срок завершения</t>
  </si>
  <si>
    <t>Подпрограмма № 4 «Государственная поддержка социально ориентированных некоммерческих организаций в Архангельской области»</t>
  </si>
  <si>
    <t>4.1.</t>
  </si>
  <si>
    <t>Организация и проведение методических семинаров по обеспечению участия социально ориентированных некоммерческих организаций в конкурсах целевых проектов социально ориентированных некоммерческих организаций, а также развитие компетенций представителей социально ориентированных некоммерческих организаций в целях обеспечения ведения хозяйственной деятельности таких организаций</t>
  </si>
  <si>
    <t>количество проведенных семинаров для СО НКО; единиц</t>
  </si>
  <si>
    <t>Подпрограмма № 6 «Адресная поддержка Ленского муниципального района Архангельской области»</t>
  </si>
  <si>
    <t>Проектирование и строительство автомобильной дороги общего пользования регионального значения Заболотье – Сольвычегодск – Яренск на участке Фоминская – Слободчиково</t>
  </si>
  <si>
    <t>техническая готовность объекта (II квартал: подготовка документации для размещения государственного заказа, III квартал: процедура размещения государственного заказа, заключение государственного контракта, получение разрешения на строительство, IV квартал: выполнение строительных работ); процентов</t>
  </si>
  <si>
    <t>32</t>
  </si>
  <si>
    <t>Завершена разработка проектной документации, получено положительное заключение государственной экспертизы от 29 мая 2020 года № 29-1-1-3-021781-2020. Дальнейшие процедуры отменены в связи с отсутствием средств межбюджетного трансферта из бюджета города Москвы и сокращением финансирования</t>
  </si>
  <si>
    <t>Проектирование 
и строительство физкультурно-оздоровительного комплекса в селе Яренск</t>
  </si>
  <si>
    <t>заключение контракта на проектирование; срок завершения</t>
  </si>
  <si>
    <t>29 мая</t>
  </si>
  <si>
    <t>Конкурсные процедуры отменены в связи с отсутствием средств межбюджетного трансферта из бюджета города Москвы</t>
  </si>
  <si>
    <t>Подпрограмма № 7 «Развитие отдельных направлений системы государственного управления Архангельской области»</t>
  </si>
  <si>
    <t>Обеспечение деятельности агентства записи актов гражданского состояния Архангельской области</t>
  </si>
  <si>
    <t>17,9</t>
  </si>
  <si>
    <t>40,7</t>
  </si>
  <si>
    <t>56,7</t>
  </si>
  <si>
    <t>91,7</t>
  </si>
  <si>
    <t>Экономия при проведении конкурсных процедур</t>
  </si>
  <si>
    <t>Обеспечение деятельности представительства Архангельской области в Санкт-Петербурге</t>
  </si>
  <si>
    <t>41,5</t>
  </si>
  <si>
    <t>60,8</t>
  </si>
  <si>
    <t>93,7</t>
  </si>
  <si>
    <t>Резерв на случай новогодних поздравлений и подарков от Губернатора Архангельской области, но мероприятия не состоялись</t>
  </si>
  <si>
    <t>3.4.</t>
  </si>
  <si>
    <t>Развитие ситуационного центра Губернатора Архангельской области</t>
  </si>
  <si>
    <t>заключение контракта на оказание услуг по модернизации (вводу второй очереди) ИАС; срок завершения</t>
  </si>
  <si>
    <t>30 октября</t>
  </si>
  <si>
    <t xml:space="preserve">Передача реализации мероприятия министерству связи и информационных технологий Архангельской области в соответствии с постановлением Правительства Архангельской области от 5 октября 2020 года № 638-пп «О внесении изменений в сводную бюджетную роспись областного бюджета на 2020 год и на плановый период 2021 и 2022 годов» </t>
  </si>
  <si>
    <t>Развитие и поддержание успешного функционирования государственной информационной системы Архангельской области «Управление проектной деятельностью исполнительных органов государственной власти Архангельской области»</t>
  </si>
  <si>
    <t>проведение закупочных процедур и заключение контракта на модернизацию государственной информационной системы Архангельской области «Управление проектной деятельностью исполнительных органов государственной власти Архангельской области»; срок завершения</t>
  </si>
  <si>
    <t>Мероприятие не выполнено по причине технических изменений в ГИИС «Электронный бюджет», внесенных Министерством финансов Российской Федерации после изменений федерального законодательства по реализации национальных проектов и организации проектной деятельности, возникла потребность в корректировке технического задания на проведение работ по модернизации ГИС УПД и переносе сроков проведения закупочных процедур</t>
  </si>
  <si>
    <t>выполнение работ по модернизации государственной информационной системы Архангельской области «Управление проектной деятельностью исполнительных органов государственной власти Архангельской области» и приемка работ; срок завершения</t>
  </si>
  <si>
    <t>Мероприятие не выполнено в связи с корректировкой технического задания на проведение работ по модернизации ГИС УПД и переносом сроков проведения закупочных процедур выполнение работ по модернизации ГИС УПД</t>
  </si>
  <si>
    <t>ГП АО "Развитие энергетики и жилищно-коммунального хозяйства Архангельской области"</t>
  </si>
  <si>
    <t>Подпрограмма № 1 «Энергосбережение и повышение энергетической эффективности в Архангельской области»</t>
  </si>
  <si>
    <t>1.19.1</t>
  </si>
  <si>
    <t>Разработка проектно-сметной документации на строительство и реконструкцию (модернизацию) объектов питьевого водоснабжения</t>
  </si>
  <si>
    <t>количество разработанных проектов на строительство и (модернизацию) объектов питьевого водоснабжения; единиц</t>
  </si>
  <si>
    <t>Подпрограмма № 2 «Газификация Архангельской области»</t>
  </si>
  <si>
    <t>2.6.</t>
  </si>
  <si>
    <t>Проектирование, строительство распределительного газопровода высокого давления от головного газорегуляторного пункта "Архангельск" до объектов федерального государственного автономного образовательного учреждения "Северный (Арктический) федеральный университет имени М.В.Ломоносова" на ул. Папанина и ул. Воронина г. Архангельска</t>
  </si>
  <si>
    <t>строительство сетей газоснабжения; метры</t>
  </si>
  <si>
    <t>Отсутствие решения со стороны САФУ о строительстве газовых котельных в округе Варавино-Фактория г. Архангельска</t>
  </si>
  <si>
    <t>ГП АО "Развитие транспортной системы Архангельской области"</t>
  </si>
  <si>
    <t>Подпрограмма № 2 «Развитие общественного пассажирского транспорта и транспортной инфраструктуры Архангельской области»</t>
  </si>
  <si>
    <t>Доля рейсов на маршрутах, фактически выполненных в соответствии с расписанием при осуществлении пассажирских перевозок автомобильным транспортом в междугородном и пригородном сообщении, за исключением рейсов, не выполненных по причине погодных условий, в общем количестве рейсов, установленных в соответствии с расписанием; процент</t>
  </si>
  <si>
    <t>84</t>
  </si>
  <si>
    <t>92</t>
  </si>
  <si>
    <t>Мероприятие не выполнено по причине снижения пассажиропотока в связи с распространением новой коронавирусной инфекции (COVID-19)</t>
  </si>
  <si>
    <t>2.10.</t>
  </si>
  <si>
    <t>Организация буксирных перевозок организованных групп людей внутренним водным транспортом в период весеннего ледохода и осеннего ледостава на межмуниципальном маршруте «Хабарка – Выселки»</t>
  </si>
  <si>
    <t>Доля рейсов, фактически выполненных в соответствии с требованиями технического задания при осуществлении буксирных перевозок водным транспортом, за исключением рейсов, не выполненных по причине погодных условий, в общем количестве рейсов, установленных в соответствии с требованиями технического задания; процент</t>
  </si>
  <si>
    <t>75,25</t>
  </si>
  <si>
    <t>Подпрограмма № 3 «Развитие и совершенствование сети автомобильных дорог общего пользования регионального значения»</t>
  </si>
  <si>
    <t>5.2.</t>
  </si>
  <si>
    <t>Строительство мостового перехода через реку Устья на км 139+309 автомобильной дороги Шангалы – Квазеньга – Кизема</t>
  </si>
  <si>
    <t>Техническая готовность объекта (III квартал: процедура размещения государственного заказа, заключение государственного контракта, получение разрешения на строительство, IV квартал:  выполнение строительных работ); процент</t>
  </si>
  <si>
    <t>Государственный контракт заключен 08.12.2020 г., что не позволило подрядной организации выполнить запланированные работы</t>
  </si>
  <si>
    <t>5.7.</t>
  </si>
  <si>
    <t>Реконструкция мостового перехода через реку Вождеромка на км 60+464 автомобильной дороги Архангельск - Белогорский - Пинега - Кимжа - Мезень</t>
  </si>
  <si>
    <t>Получение заключения о результатах проведения экспертизы проектной документации; срок завершения</t>
  </si>
  <si>
    <t>1 декабря</t>
  </si>
  <si>
    <t>Мероприятие не выполнено по причине неисполнения государственного контракта на разработку проектной документации ввиду нарушения подрядной организацией сроков производства работ по государственному контракту</t>
  </si>
  <si>
    <t>Подпрограмма № 4 «Улучшение эксплуатационного состояния автомобильных дорог общего пользования регионального значения за счет ремонта, капитального ремонта и содержания»</t>
  </si>
  <si>
    <t>Количество разработанных проектных документаций; единиц</t>
  </si>
  <si>
    <t>Мероприятие не выполнено по причине нарушения подрядной организацией сроков завершения работ в рамках заключенных государственных контрактов по разработке проектной документации</t>
  </si>
  <si>
    <t>Капитальный ремонт и ремонт мостов</t>
  </si>
  <si>
    <t>Техническая готовность вводных объектов (I - IV квартал: подготовка документации для размещения государственного заказа, торги, заключение государственных контрактов, выполнение работ по капитальному ремонту мостов); процент</t>
  </si>
  <si>
    <t>16,4</t>
  </si>
  <si>
    <t>65,9</t>
  </si>
  <si>
    <t>94,1</t>
  </si>
  <si>
    <t>Мероприятие не выполнено в полном объеме по причине устранения подрядчиком замечаний заказчика, а также нарушения графика работ в ходе капитального ремонта моста через реку Вохтомица на км 18+599 автомобильной дороги Коноша – Няндома</t>
  </si>
  <si>
    <t>Количество отремонтированных мостов; единиц</t>
  </si>
  <si>
    <t>3.6.</t>
  </si>
  <si>
    <t>Устройство или замена водопропускных труб в рамках обеспечения безопасности движения по региональным автомобильным дорогам</t>
  </si>
  <si>
    <t>Количество отремонтированных водопропускных труб; единиц</t>
  </si>
  <si>
    <t xml:space="preserve">Мероприятие не выполнено в полном объеме по причине возникновения в ходе завершения капитального ремонта водопропускной трубы через руч. Тевдс на км 93+713 автомобильной дороги Шангалы – Квазеньга – Кизема работ (просадки дорожной одежды на участке работ), выполнение которых возможно только в благоприятный период года (лето) </t>
  </si>
  <si>
    <t>Подпрограмма № 5 «Создание условий для реализации государственной программы и осуществления иных расходов»</t>
  </si>
  <si>
    <t>Обеспечение деятельности министерства транспорта Архангельской области</t>
  </si>
  <si>
    <t>Количество зарегистрированных самоходных машин и прицепов к ним; единиц</t>
  </si>
  <si>
    <t>59</t>
  </si>
  <si>
    <t>ГП АО "Развитие инфраструктуры Соловецкого архипелага"</t>
  </si>
  <si>
    <t>Строительство и реконструкция системы водоснабжения поселка Соловецкий, корректировка проектно-сметной документации, экспертиза проекта.</t>
  </si>
  <si>
    <t>﻿уровень технической готовности строительства и реконструкции системы водоснабжения поселка Соловецкий; процент</t>
  </si>
  <si>
    <t>мероприятие не выполнено в связи с необходимостью обследования выполненных работ и корректировки ПСД</t>
  </si>
  <si>
    <t>срок выполнения проектно- изыскательских работ, прохождение государственной экспертизы; срок завершения</t>
  </si>
  <si>
    <t>1 октября</t>
  </si>
  <si>
    <t>Строительство канализационных сетей и коллекторов, канализационных очистных сооружений поселка Соловецкий, корректировка проектно-сметной документации, экспертиза проекта.</t>
  </si>
  <si>
    <t>﻿уровень технической готовности строительства канализационных сетей и коллекторов, канализационных очистных сооружений поселка Соловецкий; процент</t>
  </si>
  <si>
    <t>85</t>
  </si>
  <si>
    <t>Строительство здания участковой больницы на 40 посещений и стационаром на 10 коек в поселке Соловецкий, корректировка проектно-сметной документации, экспертиза проекта, проведение оценки воздействия на объект всемирного наследия ЮНЕСКО</t>
  </si>
  <si>
    <t>уровень технической готовности объекта капитального строительства; процент</t>
  </si>
  <si>
    <t xml:space="preserve">Мероприятие не выполнено в связи с поздним заключением государственного контракта 14.12.2020 з на строительство объекта
</t>
  </si>
  <si>
    <t>Организация и проведение военно-исторической конференции "Оборона Русского Севера"</t>
  </si>
  <si>
    <t>проведение конференции; срок завершения</t>
  </si>
  <si>
    <t>ГП АО "Развитие имущественно-земельных отношений в Архангельской области"</t>
  </si>
  <si>
    <t>Определение целевых функций для объектов управления государственным имуществом</t>
  </si>
  <si>
    <t>Количество организаций с государственным участием; Единиц</t>
  </si>
  <si>
    <t>Не состоялась продажа на аукционе пакета акций акционерного общества «Котласское дорожное строительно-ремонтное управление» в связи с отсутствием заявок</t>
  </si>
  <si>
    <t>ГП АО "Комплексное развитие сельских территорий Архангельской области"</t>
  </si>
  <si>
    <t>Подпрограмма № 3 «Создание и развитие инфраструктуры на сельских территориях»</t>
  </si>
  <si>
    <t>3.3.1.</t>
  </si>
  <si>
    <t>Реконструкция канализационных очистных сооружений в р.п. Октябрьский Устьянского района</t>
  </si>
  <si>
    <t>техническая готовность; %</t>
  </si>
  <si>
    <t>Мероприятие выполнено не в полном объеме по причине необходимости доработки проектной документации, получения повторной государственной экспертизы проекта, что привело к поздним срокам проведения конкурсных процедур и началу строительных работ</t>
  </si>
  <si>
    <t>3.3.2.</t>
  </si>
  <si>
    <t>Строительство объекта «Средняя общеобразовательная школа на 352 учащихся с интернатом на 80 мест в п. Шалакуша»</t>
  </si>
  <si>
    <t>ГП АО "Экономическое развитие и инвестиционная деятельность в Архангельской области"</t>
  </si>
  <si>
    <t>Подпрограмма № 3 «Совершенствование системы управления экономическим развитием Архангельской области»</t>
  </si>
  <si>
    <t>﻿Организация выполнения научно-исследовательских работ, проведение конгрессно-выставочных мероприятий</t>
  </si>
  <si>
    <t>количество выполненных научно-исследовательских работ, проведенных конференций, форумов, бизнес-миссий, выставочных мероприятий, в которых принято участие, в целях продвижения  экономического потенциала Архангельской области; единиц</t>
  </si>
  <si>
    <t>К сроку завершения оказания услуг по заключенному государственному контракту от 10 ноября 2020 г.  № б/н    исполнителем, ООО «АС Холдинг», были предоставлены отчетные документы, в ходе проверки которых был  выявлен целый ряд недочетов  и несоответствий техническому заданию, в связи с этим акт-сдачи приемки оказанных услуг не был подписан со стороны министерства экономического развития Архангельской области и государственный контракт не был оплачен в 2020 году. 18 февраля 2021 года исполнитель сдал итоговый отчет по государственному контракту</t>
  </si>
  <si>
    <t>ГП АО "Цифровое развитие Архангельской области"</t>
  </si>
  <si>
    <t>Подпрограмма № 1 «Развитие связи и навигационных технологий на территории Архангельской области»</t>
  </si>
  <si>
    <t>Обеспечение развертывания сети абонентского радиодоступа по технологии Wi-Fi в рамках подготовки и проведения социально-значимых событий, культурно-массовых и спортивных мероприятий Архангельской области</t>
  </si>
  <si>
    <t>Количество мероприятий, обеспеченных сетью абонентского радиодоступа по технологии Wi-Fi; единиц</t>
  </si>
  <si>
    <t>Подпрограмма № 2 «Совершенствование процессов оказания государственных и муниципальных услуг и контрольно-надзорной деятельности»</t>
  </si>
  <si>
    <t>Развитие сети многофункциональных центров в муниципальных образованиях Архангельской области</t>
  </si>
  <si>
    <t>Выполнение ремонтных работ (демонтажные работы, замена окон, обустройство фасада); срок завершения</t>
  </si>
  <si>
    <t>Дополнительное финансирование на осуществление части работ по текущему ремонту выделено 14.10.2020. Договор на текущий ремонт и устройство фасада заключен 27 ноября 2020 года № 25.05/20. Срок выполнения работ по договору - 25 декабря 2020 г. В процессе производства работ были выявлены дополнительные работы, в связи с чем вносились корректировки в проект и проектно-сметную документацию. Мероприятие выполнено 26.02.2021</t>
  </si>
  <si>
    <t>Подпрограмма № 3 «Цифровые технологии в государственном управлении Архангельской области»</t>
  </si>
  <si>
    <t>Создание, развитие и сопровождение информационной системы «Электронная комиссия по делам несовершеннолетних»</t>
  </si>
  <si>
    <t>Создание информационной системы «Электронная комиссия по делам несовершеннолетних»; срок завершения</t>
  </si>
  <si>
    <t>Невыполнение этапа связано с длительным процессом формирования единого мнения относительно путей реализации мероприятия и согласования проектов технических заданий с участниками информационного взаимодействия, в результате принято решение о создании системы на базе программных продуктов «1С». Также в результате предварительного обследования выявлено несоответствие техническим требованиям подключаемых к системе АРМ муниципальных комиссий по делам несовершеннолетних в объеме 74% от планируемых, что привело к невозможности подключения к системе всех пользователей</t>
  </si>
  <si>
    <t>Подпрограмма № 4 «Информационная безопасность исполнительных органов государственной власти Архангельской области»</t>
  </si>
  <si>
    <t>Перевод автоматизированных рабочих мест работников исполнительных органов государственной власти Архангельской области и подведомственных государственных учреждений Архангельской области под управление операционной системы из Единого реестра российского программного обеспечения</t>
  </si>
  <si>
    <t>Доля автоматизированных рабочих мест в исполнительных органах государственной власти Архангельской области и подведомственных им государственных учреждениях Архангельской области, переведенных под управление операционной системы из единого реестра российского программного обеспечения; процентов</t>
  </si>
  <si>
    <t>Переход на отечественное программное обеспечение новый проект в Архангельской области, отсутствует опыт и специалисты с необходимой квалификацией в ИОГВ и подведомственных им учреждениях, что затрудняет сбор данных необходимых для реализации мероприятия. Отечественное программное обеспечение из Единого реестра российского программного обеспечения не совместимо с информационными системами, программным обеспечением, используемым на постоянной основе в ИОГВ, например, ГИС «Дело», Консультант+, ГИС «Социальная поддержка граждан» и т.д. Также из-за отсутствия данных по имеющемуся техническому и периферийному оборудованию (принтеры, компьютеры) необходим сбор и анализ информации, который требует значительных временных затрат. В рамках реализации мероприятия на 2020 запрашивалось увеличение количества штатных единиц отдела, однако дополнительные штатные единицы не были согласованы. Большой объём обрабатываемых данных с учетом несогласования дополнительных штатных единиц требует дополнительного времени для решения задачи</t>
  </si>
  <si>
    <t>Подпрограмма № 2 «Содержание, обучение, воспитание и социальное обеспечение детей-сирот и детей, оставшихся без попечения родителей, лиц из числа детей-сирот и детей, оставшихся без попечения родителей, детей с ограниченными возможностями здоровья»</t>
  </si>
  <si>
    <t>Невыполнение мероприятия обусловлено низким темпами работы на объекте в связи с недостаточностью оборотных средств у подрядчика, отсутствует возможность заключать договора с субподрядными организациями и осуществлять закупку строительных материалов</t>
  </si>
  <si>
    <t>устройство фундамента; срок завершения</t>
  </si>
  <si>
    <t>ввод в эксплуатацию здания школы; срок завершения</t>
  </si>
  <si>
    <t>Предоставление единовременных разовых денежных выплат отдельным категориям граждан, проживающих (пребывающих) на территории Архангельской области, в связи с 75-летнем Победы в Великой Отечественной войне 1941 - 1945 годов</t>
  </si>
  <si>
    <t>В соответствии с указом Губернатора Архангельской области от 17.03.2020  № 28-у  оздоровительная кампания детей на территории Архангельской области в летний период приостановлена до особого распоряжения.</t>
  </si>
  <si>
    <t>Строительство объекта «Пожарное депо государственного казенного учреждения Архангельской области «Отряд государственной противопожарной службы № 21» 
на 4 автомашины в городе Сольвычегодске Котласского муниципального района Архангельской области</t>
  </si>
  <si>
    <t>Сведения об исполнении консолидированного бюджета Архангельской области за 2020 год
согласно отчетам по формам 0503317, 0503387 и 0503369</t>
  </si>
  <si>
    <t>Сведения об исполнении консолидированных бюджетов муниципальных образований Архангельской области за 2020 год согласно отчетам по ф. 0503317 и 0503387</t>
  </si>
  <si>
    <t>Состояние дебиторской задолженности областного бюджета и бюджетов муниципальных образований, с учетом казенных учреждений (без бюджетных и автономных учреждений) согласно отчетам по ф. 0503369 на 01.01.2021</t>
  </si>
  <si>
    <t>Состояние кредиторской задолженности областного бюджета и бюджетов муниципальных образований с учетом казенных учреждений (без бюджетных и автономных учреждений) согласно отчетам по ф. 0503369 на 01.01.2021</t>
  </si>
  <si>
    <t>Приложение № 8</t>
  </si>
  <si>
    <t>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</si>
  <si>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Возврат неиспользованного остатка средств по предоставлению субсидий (грантов в форме субсидии) из областного бюджета социально ориентированных некоммерческих организаций</t>
  </si>
  <si>
    <t>Подпрограмма "Совершенствование процессов оказания государственных и муниципальных услуг и контрольно-надзорной деятельности"</t>
  </si>
  <si>
    <t>Приложение № 9</t>
  </si>
  <si>
    <t>Сводная бюджетная роспись на 31.12.2020, млн.руб.</t>
  </si>
  <si>
    <t>Информация о неисполнении бюджетных ассигнований в 2020 году по отдельным направлениям расходов</t>
  </si>
  <si>
    <t>Нераспределенный остаток средств резервного фонда Правительства Архангельской области</t>
  </si>
  <si>
    <t>Расходы на содержание государственных органов и обеспечение их функций в 2019 - 2020 годах за счет средств областного бюджета (без учета субвенций на осуществление переданных полномочий)</t>
  </si>
  <si>
    <t>Приложение № 11</t>
  </si>
  <si>
    <t>Приложение № 12</t>
  </si>
  <si>
    <t>Исполнение областного бюджета за 2019-2020 года в разрезе программ Архангельской области</t>
  </si>
  <si>
    <t>Приложение № 13</t>
  </si>
  <si>
    <t>Мероприятие не выполнено в связи с ограничительными мерами, связанными  с распространением новой коронавирусной инфекции (COVID-2019) затянулись процедуры получения открытого листа на проведение археологических работ</t>
  </si>
  <si>
    <t>завершение капитального ремонта внутренних электрических сетей здания общежития ГБУК АО Архангельский музыкальный колледж"; срок завершения</t>
  </si>
  <si>
    <t xml:space="preserve">Мероприятие  выполнено не в полном объеме по причине нарушение плана реализации в связи со сдвигом графика производства работ, что в свою очередь было вызвано недостаточной численностью рабочих кадров у подрядчика
</t>
  </si>
  <si>
    <t>Мероприятие не выполнено в связи с заключением контракта 14.12.2020, учитывая, что срок поставки с даты заключения контракта 30 дней, исполнитель осуществил поставку не нарушая условий контракта. Мероприятие завершено 13.01.2021</t>
  </si>
  <si>
    <t>Подготовлена проектно-сметная документация, заявки  направлены в Министерство спорта РФ. Заявки отклонены</t>
  </si>
  <si>
    <t>Приложение № 14</t>
  </si>
  <si>
    <t>Приложение № 15</t>
  </si>
  <si>
    <t>Приложение № 16</t>
  </si>
  <si>
    <t>Приложение № 17</t>
  </si>
  <si>
    <t>Состояние задолженности государственных и муниципальных бюджетных, автономных учреждений на 01.01.2021 без учета средств во временном распоряжении согласно отчетам по ф. 0503769</t>
  </si>
  <si>
    <t>Приложение № 18</t>
  </si>
  <si>
    <t>Состояние задолженности государственных бюджетных и автономных учреждений на 01.01.2021 согласно отчетам по ф. 0503769 без учета средств во временном распоряжении</t>
  </si>
  <si>
    <t>Агентство по 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</si>
</sst>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quot;р.&quot;_-;\-* #,##0.00&quot;р.&quot;_-;_-* &quot;-&quot;??&quot;р.&quot;_-;_-@_-"/>
    <numFmt numFmtId="165" formatCode="#,##0.00_ ;[Red]\-#,##0.00\ "/>
    <numFmt numFmtId="166" formatCode="#,##0.0_ ;[Red]\-#,##0.0\ "/>
    <numFmt numFmtId="167" formatCode="#,##0.000000_ ;[Red]\-#,##0.000000\ "/>
    <numFmt numFmtId="168" formatCode="#,##0.000000000000_ ;[Red]\-#,##0.000000000000\ "/>
    <numFmt numFmtId="169" formatCode="#,##0.00000000000_ ;[Red]\-#,##0.00000000000\ "/>
    <numFmt numFmtId="170" formatCode="#,##0_ ;[Red]\-#,##0\ "/>
    <numFmt numFmtId="171" formatCode="#,##0.0"/>
    <numFmt numFmtId="172" formatCode="#,##0.00_ ;[Red]\-#,##0.00"/>
    <numFmt numFmtId="173" formatCode="00"/>
    <numFmt numFmtId="174" formatCode="dd/mm/yy;@"/>
    <numFmt numFmtId="175" formatCode="000"/>
    <numFmt numFmtId="176" formatCode="0.0"/>
    <numFmt numFmtId="177" formatCode="#,##0.000"/>
    <numFmt numFmtId="178" formatCode="0000000000"/>
    <numFmt numFmtId="179" formatCode="0.0%"/>
    <numFmt numFmtId="180" formatCode="#,##0.00_ ;\-#,##0.00\ "/>
    <numFmt numFmtId="181" formatCode="#,##0.0_ ;\-#,##0.0\ "/>
  </numFmts>
  <fonts count="52" x14ac:knownFonts="1">
    <font>
      <sz val="10"/>
      <color theme="1"/>
      <name val="Arial"/>
      <family val="2"/>
      <charset val="204"/>
    </font>
    <font>
      <sz val="10"/>
      <color theme="1"/>
      <name val="Arial"/>
      <family val="2"/>
      <charset val="204"/>
    </font>
    <font>
      <sz val="10"/>
      <color rgb="FFFF0000"/>
      <name val="Arial"/>
      <family val="2"/>
      <charset val="204"/>
    </font>
    <font>
      <b/>
      <sz val="10"/>
      <color theme="1"/>
      <name val="Arial"/>
      <family val="2"/>
      <charset val="204"/>
    </font>
    <font>
      <sz val="10"/>
      <name val="Arial"/>
      <family val="2"/>
      <charset val="204"/>
    </font>
    <font>
      <b/>
      <sz val="12"/>
      <name val="Arial"/>
      <family val="2"/>
      <charset val="204"/>
    </font>
    <font>
      <sz val="10"/>
      <color indexed="9"/>
      <name val="Arial"/>
      <family val="2"/>
      <charset val="204"/>
    </font>
    <font>
      <sz val="8"/>
      <name val="Arial"/>
      <family val="2"/>
      <charset val="204"/>
    </font>
    <font>
      <b/>
      <sz val="10"/>
      <name val="Arial"/>
      <family val="2"/>
      <charset val="204"/>
    </font>
    <font>
      <b/>
      <sz val="9"/>
      <name val="Arial"/>
      <family val="2"/>
      <charset val="204"/>
    </font>
    <font>
      <b/>
      <sz val="8"/>
      <name val="Arial"/>
      <family val="2"/>
      <charset val="204"/>
    </font>
    <font>
      <b/>
      <sz val="10"/>
      <name val="Arial Cyr"/>
      <charset val="204"/>
    </font>
    <font>
      <b/>
      <sz val="9"/>
      <name val="Arial Cyr"/>
      <charset val="204"/>
    </font>
    <font>
      <i/>
      <sz val="10"/>
      <color rgb="FFFF0000"/>
      <name val="Arial"/>
      <family val="2"/>
      <charset val="204"/>
    </font>
    <font>
      <i/>
      <sz val="10"/>
      <name val="Arial"/>
      <family val="2"/>
      <charset val="204"/>
    </font>
    <font>
      <b/>
      <sz val="10"/>
      <color rgb="FFFF0000"/>
      <name val="Arial"/>
      <family val="2"/>
      <charset val="204"/>
    </font>
    <font>
      <b/>
      <sz val="10"/>
      <color indexed="10"/>
      <name val="Arial"/>
      <family val="2"/>
      <charset val="204"/>
    </font>
    <font>
      <sz val="10"/>
      <color rgb="FF000000"/>
      <name val="Arial"/>
      <family val="2"/>
      <charset val="204"/>
    </font>
    <font>
      <b/>
      <sz val="12"/>
      <color theme="1"/>
      <name val="Arial"/>
      <family val="2"/>
      <charset val="204"/>
    </font>
    <font>
      <b/>
      <sz val="8"/>
      <color theme="1"/>
      <name val="Arial"/>
      <family val="2"/>
      <charset val="204"/>
    </font>
    <font>
      <b/>
      <sz val="9"/>
      <color theme="1"/>
      <name val="Arial"/>
      <family val="2"/>
      <charset val="204"/>
    </font>
    <font>
      <b/>
      <sz val="11"/>
      <color theme="1"/>
      <name val="Arial"/>
      <family val="2"/>
      <charset val="204"/>
    </font>
    <font>
      <sz val="8"/>
      <color rgb="FF000000"/>
      <name val="Arial"/>
      <family val="2"/>
      <charset val="204"/>
    </font>
    <font>
      <b/>
      <i/>
      <sz val="10"/>
      <color rgb="FFFF0000"/>
      <name val="Arial"/>
      <family val="2"/>
      <charset val="204"/>
    </font>
    <font>
      <sz val="10"/>
      <color rgb="FF000000"/>
      <name val="Arial Cyr"/>
    </font>
    <font>
      <sz val="8"/>
      <color theme="1"/>
      <name val="Arial"/>
      <family val="2"/>
      <charset val="204"/>
    </font>
    <font>
      <sz val="11"/>
      <color theme="1"/>
      <name val="Calibri"/>
      <family val="2"/>
      <charset val="204"/>
      <scheme val="minor"/>
    </font>
    <font>
      <sz val="9"/>
      <color theme="1"/>
      <name val="Arial"/>
      <family val="2"/>
      <charset val="204"/>
    </font>
    <font>
      <sz val="8"/>
      <color rgb="FF000000"/>
      <name val="Times New Roman"/>
      <family val="1"/>
      <charset val="204"/>
    </font>
    <font>
      <b/>
      <sz val="10"/>
      <color rgb="FF000000"/>
      <name val="Arial Cyr"/>
    </font>
    <font>
      <sz val="10"/>
      <color theme="1"/>
      <name val="Times New Roman"/>
      <family val="1"/>
      <charset val="204"/>
    </font>
    <font>
      <b/>
      <sz val="10"/>
      <color theme="1"/>
      <name val="Times New Roman"/>
      <family val="1"/>
      <charset val="204"/>
    </font>
    <font>
      <b/>
      <sz val="12"/>
      <color theme="1"/>
      <name val="Times New Roman"/>
      <family val="1"/>
      <charset val="204"/>
    </font>
    <font>
      <b/>
      <sz val="11"/>
      <color theme="1"/>
      <name val="Times New Roman"/>
      <family val="1"/>
      <charset val="204"/>
    </font>
    <font>
      <b/>
      <sz val="10"/>
      <color theme="1"/>
      <name val="Aharoni"/>
      <charset val="177"/>
    </font>
    <font>
      <sz val="8"/>
      <color rgb="FF000000"/>
      <name val="Arial Cyr"/>
    </font>
    <font>
      <sz val="14"/>
      <color theme="1"/>
      <name val="Arial"/>
      <family val="2"/>
      <charset val="204"/>
    </font>
    <font>
      <sz val="14"/>
      <color theme="1"/>
      <name val="Calibri"/>
      <family val="2"/>
      <scheme val="minor"/>
    </font>
    <font>
      <i/>
      <sz val="10"/>
      <color theme="1"/>
      <name val="Arial"/>
      <family val="2"/>
      <charset val="204"/>
    </font>
    <font>
      <u/>
      <sz val="10"/>
      <color theme="1"/>
      <name val="Arial"/>
      <family val="2"/>
      <charset val="204"/>
    </font>
    <font>
      <b/>
      <i/>
      <sz val="10"/>
      <color theme="1"/>
      <name val="Arial"/>
      <family val="2"/>
      <charset val="204"/>
    </font>
    <font>
      <b/>
      <sz val="10"/>
      <color rgb="FF000000"/>
      <name val="Arial"/>
      <family val="2"/>
      <charset val="204"/>
    </font>
    <font>
      <b/>
      <sz val="8"/>
      <color rgb="FF000000"/>
      <name val="Arial"/>
      <family val="2"/>
      <charset val="204"/>
    </font>
    <font>
      <b/>
      <sz val="10"/>
      <color theme="0"/>
      <name val="Arial"/>
      <family val="2"/>
      <charset val="204"/>
    </font>
    <font>
      <b/>
      <sz val="11"/>
      <color rgb="FF000000"/>
      <name val="Arial"/>
      <family val="2"/>
      <charset val="204"/>
    </font>
    <font>
      <sz val="10"/>
      <name val="Arial Cyr"/>
      <charset val="204"/>
    </font>
    <font>
      <i/>
      <sz val="9"/>
      <color rgb="FF000000"/>
      <name val="Arial"/>
      <family val="2"/>
      <charset val="204"/>
    </font>
    <font>
      <sz val="9"/>
      <color rgb="FF000000"/>
      <name val="Arial"/>
      <family val="2"/>
      <charset val="204"/>
    </font>
    <font>
      <i/>
      <sz val="10"/>
      <color rgb="FF000000"/>
      <name val="Arial"/>
      <family val="2"/>
      <charset val="204"/>
    </font>
    <font>
      <sz val="11"/>
      <color theme="1"/>
      <name val="Times New Roman"/>
      <family val="1"/>
      <charset val="204"/>
    </font>
    <font>
      <sz val="10"/>
      <name val="Tahoma"/>
      <family val="2"/>
      <charset val="204"/>
    </font>
    <font>
      <sz val="11"/>
      <color theme="1"/>
      <name val="Arial"/>
      <family val="2"/>
      <charset val="204"/>
    </font>
  </fonts>
  <fills count="19">
    <fill>
      <patternFill patternType="none"/>
    </fill>
    <fill>
      <patternFill patternType="gray125"/>
    </fill>
    <fill>
      <patternFill patternType="solid">
        <fgColor indexed="43"/>
        <bgColor indexed="64"/>
      </patternFill>
    </fill>
    <fill>
      <patternFill patternType="solid">
        <fgColor indexed="11"/>
        <bgColor indexed="64"/>
      </patternFill>
    </fill>
    <fill>
      <patternFill patternType="solid">
        <fgColor rgb="FF65FFAB"/>
        <bgColor indexed="64"/>
      </patternFill>
    </fill>
    <fill>
      <patternFill patternType="solid">
        <fgColor rgb="FFFFFF99"/>
        <bgColor indexed="64"/>
      </patternFill>
    </fill>
    <fill>
      <patternFill patternType="solid">
        <fgColor rgb="FF92D050"/>
        <bgColor indexed="64"/>
      </patternFill>
    </fill>
    <fill>
      <patternFill patternType="solid">
        <fgColor rgb="FFFFFFCC"/>
        <bgColor indexed="64"/>
      </patternFill>
    </fill>
    <fill>
      <patternFill patternType="solid">
        <fgColor rgb="FFFFFF00"/>
        <bgColor indexed="64"/>
      </patternFill>
    </fill>
    <fill>
      <patternFill patternType="solid">
        <fgColor rgb="FF00B050"/>
        <bgColor indexed="64"/>
      </patternFill>
    </fill>
    <fill>
      <patternFill patternType="solid">
        <fgColor rgb="FF00FF00"/>
        <bgColor indexed="64"/>
      </patternFill>
    </fill>
    <fill>
      <patternFill patternType="solid">
        <fgColor rgb="FFFFFFFF"/>
      </patternFill>
    </fill>
    <fill>
      <patternFill patternType="solid">
        <fgColor indexed="26"/>
        <bgColor indexed="64"/>
      </patternFill>
    </fill>
    <fill>
      <patternFill patternType="solid">
        <fgColor theme="0"/>
        <bgColor indexed="64"/>
      </patternFill>
    </fill>
    <fill>
      <patternFill patternType="solid">
        <fgColor rgb="FFFFFF66"/>
        <bgColor indexed="64"/>
      </patternFill>
    </fill>
    <fill>
      <patternFill patternType="solid">
        <fgColor rgb="FFFFF4D1"/>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4" tint="0.79998168889431442"/>
        <bgColor indexed="64"/>
      </patternFill>
    </fill>
  </fills>
  <borders count="56">
    <border>
      <left/>
      <right/>
      <top/>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diagonal/>
    </border>
    <border>
      <left style="thin">
        <color rgb="FF000000"/>
      </left>
      <right style="thin">
        <color rgb="FF000000"/>
      </right>
      <top/>
      <bottom style="thin">
        <color rgb="FF000000"/>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double">
        <color indexed="64"/>
      </left>
      <right style="thin">
        <color indexed="64"/>
      </right>
      <top style="double">
        <color indexed="64"/>
      </top>
      <bottom/>
      <diagonal/>
    </border>
    <border>
      <left style="thin">
        <color auto="1"/>
      </left>
      <right style="thin">
        <color indexed="64"/>
      </right>
      <top style="double">
        <color auto="1"/>
      </top>
      <bottom/>
      <diagonal/>
    </border>
    <border>
      <left style="thin">
        <color indexed="64"/>
      </left>
      <right/>
      <top style="double">
        <color indexed="64"/>
      </top>
      <bottom/>
      <diagonal/>
    </border>
    <border>
      <left/>
      <right style="thin">
        <color indexed="64"/>
      </right>
      <top style="double">
        <color auto="1"/>
      </top>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bottom/>
      <diagonal/>
    </border>
    <border>
      <left/>
      <right/>
      <top style="double">
        <color indexed="64"/>
      </top>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double">
        <color indexed="64"/>
      </right>
      <top/>
      <bottom style="hair">
        <color indexed="64"/>
      </bottom>
      <diagonal/>
    </border>
  </borders>
  <cellStyleXfs count="24">
    <xf numFmtId="0" fontId="0" fillId="0" borderId="0"/>
    <xf numFmtId="4" fontId="22" fillId="0" borderId="18">
      <alignment horizontal="right"/>
    </xf>
    <xf numFmtId="172" fontId="24" fillId="11" borderId="22">
      <alignment horizontal="center" vertical="center" shrinkToFit="1"/>
    </xf>
    <xf numFmtId="0" fontId="26" fillId="0" borderId="0"/>
    <xf numFmtId="4" fontId="22" fillId="0" borderId="18">
      <alignment horizontal="right"/>
    </xf>
    <xf numFmtId="4" fontId="22" fillId="0" borderId="23">
      <alignment horizontal="right"/>
    </xf>
    <xf numFmtId="0" fontId="28" fillId="11" borderId="23">
      <alignment horizontal="center" vertical="center" wrapText="1"/>
    </xf>
    <xf numFmtId="0" fontId="29" fillId="0" borderId="27">
      <alignment horizontal="left" vertical="center" wrapText="1"/>
    </xf>
    <xf numFmtId="4" fontId="22" fillId="0" borderId="23">
      <alignment horizontal="right"/>
    </xf>
    <xf numFmtId="4" fontId="22" fillId="0" borderId="18">
      <alignment horizontal="right"/>
    </xf>
    <xf numFmtId="4" fontId="22" fillId="0" borderId="18">
      <alignment horizontal="right"/>
    </xf>
    <xf numFmtId="4" fontId="22" fillId="0" borderId="23">
      <alignment horizontal="right"/>
    </xf>
    <xf numFmtId="49" fontId="35" fillId="0" borderId="18">
      <alignment horizontal="center" wrapText="1"/>
    </xf>
    <xf numFmtId="0" fontId="1" fillId="0" borderId="0"/>
    <xf numFmtId="0" fontId="1" fillId="0" borderId="0"/>
    <xf numFmtId="0" fontId="1" fillId="0" borderId="0"/>
    <xf numFmtId="0" fontId="1" fillId="0" borderId="0"/>
    <xf numFmtId="0" fontId="26" fillId="0" borderId="0"/>
    <xf numFmtId="0" fontId="26" fillId="0" borderId="0"/>
    <xf numFmtId="49" fontId="42" fillId="0" borderId="23">
      <alignment horizontal="center" vertical="center" wrapText="1"/>
    </xf>
    <xf numFmtId="0" fontId="45" fillId="0" borderId="0"/>
    <xf numFmtId="0" fontId="26" fillId="0" borderId="0"/>
    <xf numFmtId="0" fontId="50" fillId="0" borderId="0"/>
    <xf numFmtId="0" fontId="50" fillId="0" borderId="0"/>
  </cellStyleXfs>
  <cellXfs count="1209">
    <xf numFmtId="0" fontId="0" fillId="0" borderId="0" xfId="0"/>
    <xf numFmtId="0" fontId="4" fillId="0" borderId="0" xfId="0" applyFont="1" applyAlignment="1">
      <alignment vertical="center" wrapText="1"/>
    </xf>
    <xf numFmtId="165" fontId="4" fillId="0" borderId="0" xfId="0" applyNumberFormat="1" applyFont="1" applyAlignment="1">
      <alignment vertical="center" shrinkToFit="1"/>
    </xf>
    <xf numFmtId="165" fontId="4" fillId="0" borderId="0" xfId="0" applyNumberFormat="1" applyFont="1" applyAlignment="1">
      <alignment vertical="center" wrapText="1"/>
    </xf>
    <xf numFmtId="165" fontId="6" fillId="0" borderId="0" xfId="0" applyNumberFormat="1" applyFont="1" applyAlignment="1">
      <alignment vertical="center" shrinkToFit="1"/>
    </xf>
    <xf numFmtId="166" fontId="7" fillId="0" borderId="0" xfId="0" applyNumberFormat="1" applyFont="1" applyAlignment="1">
      <alignment vertical="center" wrapText="1"/>
    </xf>
    <xf numFmtId="166" fontId="4" fillId="0" borderId="0" xfId="0" applyNumberFormat="1" applyFont="1" applyAlignment="1">
      <alignment vertical="center" wrapText="1"/>
    </xf>
    <xf numFmtId="166" fontId="1" fillId="0" borderId="1" xfId="0" applyNumberFormat="1" applyFont="1" applyBorder="1" applyAlignment="1">
      <alignment vertical="center" wrapText="1"/>
    </xf>
    <xf numFmtId="166" fontId="4" fillId="0" borderId="1" xfId="0" applyNumberFormat="1" applyFont="1" applyBorder="1" applyAlignment="1">
      <alignment vertical="center" wrapText="1"/>
    </xf>
    <xf numFmtId="0" fontId="8"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5" xfId="0" applyFont="1" applyFill="1" applyBorder="1" applyAlignment="1">
      <alignment horizontal="center" vertical="center" shrinkToFit="1"/>
    </xf>
    <xf numFmtId="49" fontId="10" fillId="0" borderId="6" xfId="0" applyNumberFormat="1" applyFont="1" applyFill="1" applyBorder="1" applyAlignment="1">
      <alignment horizontal="center" vertical="center" shrinkToFit="1"/>
    </xf>
    <xf numFmtId="4" fontId="10" fillId="0" borderId="6" xfId="0" applyNumberFormat="1"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10"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7" fillId="0" borderId="0" xfId="0" applyFont="1" applyAlignment="1">
      <alignment vertical="center" wrapText="1"/>
    </xf>
    <xf numFmtId="165" fontId="4" fillId="0" borderId="6" xfId="0" applyNumberFormat="1" applyFont="1" applyBorder="1" applyAlignment="1">
      <alignment vertical="center" shrinkToFit="1"/>
    </xf>
    <xf numFmtId="0" fontId="4" fillId="0" borderId="6" xfId="0" applyFont="1" applyBorder="1" applyAlignment="1">
      <alignment vertical="center" wrapText="1"/>
    </xf>
    <xf numFmtId="166" fontId="6" fillId="0" borderId="6" xfId="0" applyNumberFormat="1" applyFont="1" applyBorder="1" applyAlignment="1">
      <alignment vertical="center" wrapText="1"/>
    </xf>
    <xf numFmtId="0" fontId="6" fillId="0" borderId="6" xfId="0" applyFont="1" applyBorder="1" applyAlignment="1">
      <alignment vertical="center" wrapText="1"/>
    </xf>
    <xf numFmtId="0" fontId="4" fillId="0" borderId="10" xfId="0" applyFont="1" applyBorder="1" applyAlignment="1">
      <alignment vertical="center" wrapText="1"/>
    </xf>
    <xf numFmtId="166" fontId="4" fillId="0" borderId="0" xfId="0" applyNumberFormat="1" applyFont="1" applyBorder="1" applyAlignment="1">
      <alignment vertical="center" wrapText="1"/>
    </xf>
    <xf numFmtId="166" fontId="4" fillId="0" borderId="6" xfId="0" applyNumberFormat="1" applyFont="1" applyBorder="1" applyAlignment="1">
      <alignment vertical="center" wrapText="1"/>
    </xf>
    <xf numFmtId="166" fontId="1" fillId="0" borderId="6" xfId="0" applyNumberFormat="1" applyFont="1" applyBorder="1" applyAlignment="1">
      <alignment vertical="center" wrapText="1"/>
    </xf>
    <xf numFmtId="166" fontId="4" fillId="0" borderId="10" xfId="0" applyNumberFormat="1" applyFont="1" applyBorder="1" applyAlignment="1">
      <alignment vertical="center" wrapText="1"/>
    </xf>
    <xf numFmtId="0" fontId="8" fillId="0" borderId="5" xfId="0" applyFont="1" applyFill="1" applyBorder="1" applyAlignment="1">
      <alignment vertical="center" wrapText="1"/>
    </xf>
    <xf numFmtId="166" fontId="8" fillId="0" borderId="6" xfId="0" applyNumberFormat="1" applyFont="1" applyBorder="1" applyAlignment="1">
      <alignment vertical="center" wrapText="1"/>
    </xf>
    <xf numFmtId="166" fontId="8" fillId="0" borderId="10" xfId="0" applyNumberFormat="1" applyFont="1" applyBorder="1" applyAlignment="1">
      <alignment vertical="center" wrapText="1"/>
    </xf>
    <xf numFmtId="166" fontId="8" fillId="0" borderId="0" xfId="0" applyNumberFormat="1" applyFont="1" applyBorder="1" applyAlignment="1">
      <alignment vertical="center" wrapText="1"/>
    </xf>
    <xf numFmtId="167" fontId="8" fillId="0" borderId="0" xfId="0" applyNumberFormat="1" applyFont="1" applyAlignment="1">
      <alignment vertical="center" wrapText="1"/>
    </xf>
    <xf numFmtId="165" fontId="8" fillId="0" borderId="0" xfId="0" applyNumberFormat="1" applyFont="1" applyAlignment="1">
      <alignment vertical="center" wrapText="1"/>
    </xf>
    <xf numFmtId="0" fontId="4" fillId="0" borderId="5" xfId="0" applyFont="1" applyFill="1" applyBorder="1" applyAlignment="1">
      <alignment vertical="center" wrapText="1"/>
    </xf>
    <xf numFmtId="166" fontId="1" fillId="0" borderId="10" xfId="0" applyNumberFormat="1" applyFont="1" applyBorder="1" applyAlignment="1">
      <alignment vertical="center" wrapText="1"/>
    </xf>
    <xf numFmtId="165" fontId="4" fillId="2" borderId="6" xfId="0" applyNumberFormat="1" applyFont="1" applyFill="1" applyBorder="1" applyAlignment="1">
      <alignment vertical="center" wrapText="1"/>
    </xf>
    <xf numFmtId="165" fontId="4" fillId="5" borderId="6" xfId="0" applyNumberFormat="1" applyFont="1" applyFill="1" applyBorder="1" applyAlignment="1">
      <alignment vertical="center" wrapText="1"/>
    </xf>
    <xf numFmtId="166" fontId="4" fillId="0" borderId="10" xfId="0" applyNumberFormat="1" applyFont="1" applyBorder="1" applyAlignment="1">
      <alignment horizontal="center" vertical="center" wrapText="1"/>
    </xf>
    <xf numFmtId="168" fontId="4" fillId="0" borderId="0" xfId="0" applyNumberFormat="1" applyFont="1" applyAlignment="1">
      <alignment vertical="center" wrapText="1"/>
    </xf>
    <xf numFmtId="166" fontId="4" fillId="0" borderId="6" xfId="0" applyNumberFormat="1" applyFont="1" applyFill="1" applyBorder="1" applyAlignment="1">
      <alignment vertical="center" wrapText="1"/>
    </xf>
    <xf numFmtId="166" fontId="4" fillId="0" borderId="6" xfId="0" applyNumberFormat="1" applyFont="1" applyBorder="1" applyAlignment="1">
      <alignment horizontal="center" vertical="center" wrapText="1"/>
    </xf>
    <xf numFmtId="169" fontId="4" fillId="0" borderId="0" xfId="0" applyNumberFormat="1" applyFont="1" applyAlignment="1">
      <alignment vertical="center" wrapText="1"/>
    </xf>
    <xf numFmtId="0" fontId="13" fillId="6" borderId="5" xfId="0" applyFont="1" applyFill="1" applyBorder="1" applyAlignment="1">
      <alignment vertical="center" wrapText="1"/>
    </xf>
    <xf numFmtId="166" fontId="13" fillId="6" borderId="6" xfId="0" applyNumberFormat="1" applyFont="1" applyFill="1" applyBorder="1" applyAlignment="1">
      <alignment vertical="center" wrapText="1"/>
    </xf>
    <xf numFmtId="166" fontId="13" fillId="6" borderId="0" xfId="0" applyNumberFormat="1" applyFont="1" applyFill="1" applyAlignment="1">
      <alignment vertical="center" wrapText="1"/>
    </xf>
    <xf numFmtId="165" fontId="13" fillId="6" borderId="0" xfId="0" applyNumberFormat="1" applyFont="1" applyFill="1" applyAlignment="1">
      <alignment vertical="center" wrapText="1"/>
    </xf>
    <xf numFmtId="166" fontId="2" fillId="0" borderId="6" xfId="0" applyNumberFormat="1" applyFont="1" applyBorder="1" applyAlignment="1">
      <alignment vertical="center" wrapText="1"/>
    </xf>
    <xf numFmtId="166" fontId="2" fillId="0" borderId="6" xfId="0" applyNumberFormat="1" applyFont="1" applyBorder="1" applyAlignment="1">
      <alignment horizontal="center" vertical="center" wrapText="1"/>
    </xf>
    <xf numFmtId="166" fontId="2" fillId="0" borderId="0" xfId="0" applyNumberFormat="1" applyFont="1" applyFill="1" applyAlignment="1">
      <alignment vertical="center" wrapText="1"/>
    </xf>
    <xf numFmtId="165" fontId="2" fillId="0" borderId="0" xfId="0" applyNumberFormat="1" applyFont="1" applyFill="1" applyAlignment="1">
      <alignment vertical="center" wrapText="1"/>
    </xf>
    <xf numFmtId="166" fontId="8" fillId="0" borderId="0" xfId="0" applyNumberFormat="1" applyFont="1" applyAlignment="1">
      <alignment vertical="center" wrapText="1"/>
    </xf>
    <xf numFmtId="0" fontId="2" fillId="0" borderId="5" xfId="0" applyFont="1" applyFill="1" applyBorder="1" applyAlignment="1">
      <alignment vertical="center" wrapText="1"/>
    </xf>
    <xf numFmtId="166" fontId="2" fillId="0" borderId="10"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0" xfId="0" applyNumberFormat="1" applyFont="1" applyAlignment="1">
      <alignment vertical="center" wrapText="1"/>
    </xf>
    <xf numFmtId="165" fontId="2" fillId="0" borderId="0" xfId="0" applyNumberFormat="1" applyFont="1" applyAlignment="1">
      <alignment vertical="center" wrapText="1"/>
    </xf>
    <xf numFmtId="165" fontId="15" fillId="0" borderId="0" xfId="0" applyNumberFormat="1" applyFont="1" applyAlignment="1">
      <alignment vertical="center" wrapText="1"/>
    </xf>
    <xf numFmtId="165" fontId="1" fillId="0" borderId="0" xfId="0" applyNumberFormat="1" applyFont="1" applyAlignment="1">
      <alignment vertical="center" wrapText="1"/>
    </xf>
    <xf numFmtId="166" fontId="4" fillId="0" borderId="0" xfId="0" applyNumberFormat="1" applyFont="1" applyBorder="1" applyAlignment="1">
      <alignment horizontal="center" vertical="center" wrapText="1"/>
    </xf>
    <xf numFmtId="166" fontId="8" fillId="7" borderId="11" xfId="0" applyNumberFormat="1" applyFont="1" applyFill="1" applyBorder="1" applyAlignment="1">
      <alignment vertical="center" wrapText="1"/>
    </xf>
    <xf numFmtId="166" fontId="8" fillId="7" borderId="14" xfId="0" applyNumberFormat="1" applyFont="1" applyFill="1" applyBorder="1" applyAlignment="1">
      <alignment vertical="center" wrapText="1"/>
    </xf>
    <xf numFmtId="166" fontId="8" fillId="7" borderId="0" xfId="0" applyNumberFormat="1" applyFont="1" applyFill="1" applyBorder="1" applyAlignment="1">
      <alignment vertical="center" wrapText="1"/>
    </xf>
    <xf numFmtId="166" fontId="8" fillId="7" borderId="6" xfId="0" applyNumberFormat="1" applyFont="1" applyFill="1" applyBorder="1" applyAlignment="1">
      <alignment vertical="center" wrapText="1"/>
    </xf>
    <xf numFmtId="0" fontId="2" fillId="0" borderId="15" xfId="0" applyFont="1" applyBorder="1" applyAlignment="1">
      <alignment vertical="center" wrapText="1"/>
    </xf>
    <xf numFmtId="165" fontId="2" fillId="0" borderId="12" xfId="0" applyNumberFormat="1" applyFont="1" applyBorder="1" applyAlignment="1">
      <alignment vertical="center" shrinkToFit="1"/>
    </xf>
    <xf numFmtId="165" fontId="2" fillId="0" borderId="12" xfId="0" applyNumberFormat="1" applyFont="1" applyBorder="1" applyAlignment="1">
      <alignment vertical="center" wrapText="1"/>
    </xf>
    <xf numFmtId="165" fontId="2" fillId="0" borderId="16" xfId="0" applyNumberFormat="1" applyFont="1" applyBorder="1" applyAlignment="1">
      <alignment vertical="center" wrapText="1"/>
    </xf>
    <xf numFmtId="165" fontId="2" fillId="0" borderId="0" xfId="0" applyNumberFormat="1" applyFont="1" applyBorder="1" applyAlignment="1">
      <alignment vertical="center" wrapText="1"/>
    </xf>
    <xf numFmtId="0" fontId="2" fillId="0" borderId="17" xfId="0" applyFont="1" applyBorder="1" applyAlignment="1">
      <alignment vertical="center" wrapText="1"/>
    </xf>
    <xf numFmtId="165" fontId="2" fillId="0" borderId="17" xfId="0" applyNumberFormat="1" applyFont="1" applyBorder="1" applyAlignment="1">
      <alignment vertical="center" shrinkToFit="1"/>
    </xf>
    <xf numFmtId="165" fontId="2" fillId="0" borderId="17" xfId="0" applyNumberFormat="1" applyFont="1" applyBorder="1" applyAlignment="1">
      <alignment vertical="center" wrapText="1"/>
    </xf>
    <xf numFmtId="0" fontId="2" fillId="0" borderId="0" xfId="0" applyFont="1" applyBorder="1" applyAlignment="1">
      <alignment vertical="center" wrapText="1"/>
    </xf>
    <xf numFmtId="165" fontId="2" fillId="0" borderId="0" xfId="0" applyNumberFormat="1" applyFont="1" applyBorder="1" applyAlignment="1">
      <alignment vertical="center" shrinkToFit="1"/>
    </xf>
    <xf numFmtId="166" fontId="2" fillId="0" borderId="0" xfId="0" applyNumberFormat="1" applyFont="1" applyBorder="1" applyAlignment="1">
      <alignment vertical="center" shrinkToFit="1"/>
    </xf>
    <xf numFmtId="165" fontId="15" fillId="0" borderId="0" xfId="0" applyNumberFormat="1" applyFont="1" applyFill="1" applyBorder="1" applyAlignment="1">
      <alignment vertical="center" shrinkToFit="1"/>
    </xf>
    <xf numFmtId="166" fontId="2" fillId="0" borderId="0" xfId="0" applyNumberFormat="1" applyFont="1" applyBorder="1" applyAlignment="1">
      <alignment vertical="center" wrapText="1"/>
    </xf>
    <xf numFmtId="165" fontId="4" fillId="0" borderId="0" xfId="0" applyNumberFormat="1" applyFont="1" applyBorder="1" applyAlignment="1">
      <alignment vertical="center" wrapText="1"/>
    </xf>
    <xf numFmtId="0" fontId="8" fillId="8" borderId="5" xfId="0" applyFont="1" applyFill="1" applyBorder="1" applyAlignment="1">
      <alignment vertical="center" wrapText="1"/>
    </xf>
    <xf numFmtId="166" fontId="8" fillId="8" borderId="6" xfId="0" applyNumberFormat="1" applyFont="1" applyFill="1" applyBorder="1" applyAlignment="1">
      <alignment vertical="center" wrapText="1"/>
    </xf>
    <xf numFmtId="166" fontId="8" fillId="8" borderId="10" xfId="0" applyNumberFormat="1" applyFont="1" applyFill="1" applyBorder="1" applyAlignment="1">
      <alignment vertical="center" wrapText="1"/>
    </xf>
    <xf numFmtId="166" fontId="8" fillId="8" borderId="0" xfId="0" applyNumberFormat="1" applyFont="1" applyFill="1" applyBorder="1" applyAlignment="1">
      <alignment vertical="center" wrapText="1"/>
    </xf>
    <xf numFmtId="0" fontId="8" fillId="0" borderId="5" xfId="0" applyFont="1" applyBorder="1" applyAlignment="1">
      <alignment vertical="center" wrapText="1"/>
    </xf>
    <xf numFmtId="0" fontId="4" fillId="0" borderId="5" xfId="0" applyFont="1" applyBorder="1" applyAlignment="1">
      <alignment vertical="center" wrapText="1"/>
    </xf>
    <xf numFmtId="166" fontId="8" fillId="0" borderId="6" xfId="0" applyNumberFormat="1" applyFont="1" applyBorder="1" applyAlignment="1">
      <alignment horizontal="center" vertical="center" wrapText="1"/>
    </xf>
    <xf numFmtId="166" fontId="14" fillId="0" borderId="6" xfId="0" applyNumberFormat="1" applyFont="1" applyBorder="1" applyAlignment="1">
      <alignment vertical="center" wrapText="1"/>
    </xf>
    <xf numFmtId="165" fontId="14" fillId="0" borderId="0" xfId="0" applyNumberFormat="1" applyFont="1" applyAlignment="1">
      <alignment vertical="center" wrapText="1"/>
    </xf>
    <xf numFmtId="165" fontId="4" fillId="2" borderId="6" xfId="0" applyNumberFormat="1" applyFont="1" applyFill="1" applyBorder="1" applyAlignment="1">
      <alignment vertical="center" shrinkToFit="1"/>
    </xf>
    <xf numFmtId="0" fontId="1" fillId="0" borderId="5" xfId="0" applyFont="1" applyBorder="1" applyAlignment="1">
      <alignment vertical="center" wrapText="1"/>
    </xf>
    <xf numFmtId="166" fontId="8" fillId="0" borderId="10" xfId="0" applyNumberFormat="1" applyFont="1" applyBorder="1" applyAlignment="1">
      <alignment horizontal="center" vertical="center" wrapText="1"/>
    </xf>
    <xf numFmtId="166" fontId="8" fillId="0" borderId="0" xfId="0" applyNumberFormat="1" applyFont="1" applyBorder="1" applyAlignment="1">
      <alignment horizontal="center" vertical="center" wrapText="1"/>
    </xf>
    <xf numFmtId="165" fontId="8" fillId="2" borderId="6" xfId="0" applyNumberFormat="1" applyFont="1" applyFill="1" applyBorder="1" applyAlignment="1">
      <alignment vertical="center" shrinkToFit="1"/>
    </xf>
    <xf numFmtId="0" fontId="8" fillId="7" borderId="5" xfId="0" applyFont="1" applyFill="1" applyBorder="1" applyAlignment="1">
      <alignment vertical="center" wrapText="1"/>
    </xf>
    <xf numFmtId="165" fontId="8" fillId="7" borderId="6" xfId="0" applyNumberFormat="1" applyFont="1" applyFill="1" applyBorder="1" applyAlignment="1">
      <alignment vertical="center" shrinkToFit="1"/>
    </xf>
    <xf numFmtId="166" fontId="8" fillId="7" borderId="10" xfId="0" applyNumberFormat="1" applyFont="1" applyFill="1" applyBorder="1" applyAlignment="1">
      <alignment vertical="center" wrapText="1"/>
    </xf>
    <xf numFmtId="0" fontId="15" fillId="0" borderId="5" xfId="0" applyFont="1" applyFill="1" applyBorder="1" applyAlignment="1">
      <alignment vertical="center" wrapText="1"/>
    </xf>
    <xf numFmtId="165" fontId="15" fillId="0" borderId="6" xfId="0" applyNumberFormat="1" applyFont="1" applyFill="1" applyBorder="1" applyAlignment="1">
      <alignment vertical="center" shrinkToFit="1"/>
    </xf>
    <xf numFmtId="166" fontId="2" fillId="0" borderId="6" xfId="0" applyNumberFormat="1" applyFont="1" applyFill="1" applyBorder="1" applyAlignment="1">
      <alignment vertical="center" wrapText="1"/>
    </xf>
    <xf numFmtId="166" fontId="15" fillId="0" borderId="6" xfId="0" applyNumberFormat="1" applyFont="1" applyFill="1" applyBorder="1" applyAlignment="1">
      <alignment vertical="center" wrapText="1"/>
    </xf>
    <xf numFmtId="166" fontId="15" fillId="0" borderId="10" xfId="0" applyNumberFormat="1" applyFont="1" applyFill="1" applyBorder="1" applyAlignment="1">
      <alignment vertical="center" wrapText="1"/>
    </xf>
    <xf numFmtId="166" fontId="15" fillId="0" borderId="0" xfId="0" applyNumberFormat="1" applyFont="1" applyFill="1" applyBorder="1" applyAlignment="1">
      <alignment vertical="center" wrapText="1"/>
    </xf>
    <xf numFmtId="0" fontId="1" fillId="0" borderId="5" xfId="0" applyFont="1" applyFill="1" applyBorder="1" applyAlignment="1">
      <alignment vertical="center" wrapText="1"/>
    </xf>
    <xf numFmtId="165" fontId="4" fillId="0" borderId="6" xfId="0" applyNumberFormat="1" applyFont="1" applyFill="1" applyBorder="1" applyAlignment="1">
      <alignment vertical="center" shrinkToFit="1"/>
    </xf>
    <xf numFmtId="166" fontId="4" fillId="0" borderId="6" xfId="0" applyNumberFormat="1" applyFont="1" applyFill="1" applyBorder="1" applyAlignment="1">
      <alignment horizontal="center" vertical="center" wrapText="1"/>
    </xf>
    <xf numFmtId="166" fontId="4" fillId="0" borderId="10" xfId="0" applyNumberFormat="1" applyFont="1" applyFill="1" applyBorder="1" applyAlignment="1">
      <alignment vertical="center" wrapText="1"/>
    </xf>
    <xf numFmtId="166" fontId="4" fillId="0" borderId="0" xfId="0" applyNumberFormat="1" applyFont="1" applyFill="1" applyBorder="1" applyAlignment="1">
      <alignment vertical="center" wrapText="1"/>
    </xf>
    <xf numFmtId="166" fontId="2" fillId="0" borderId="0" xfId="0" applyNumberFormat="1" applyFont="1" applyFill="1" applyBorder="1" applyAlignment="1">
      <alignment vertical="center" wrapText="1"/>
    </xf>
    <xf numFmtId="0" fontId="8" fillId="7" borderId="19" xfId="0" applyFont="1" applyFill="1" applyBorder="1" applyAlignment="1">
      <alignment vertical="center" wrapText="1"/>
    </xf>
    <xf numFmtId="165" fontId="8" fillId="7" borderId="20" xfId="0" applyNumberFormat="1" applyFont="1" applyFill="1" applyBorder="1" applyAlignment="1">
      <alignment vertical="center" shrinkToFit="1"/>
    </xf>
    <xf numFmtId="166" fontId="8" fillId="7" borderId="20" xfId="0" applyNumberFormat="1" applyFont="1" applyFill="1" applyBorder="1" applyAlignment="1">
      <alignment vertical="center" wrapText="1"/>
    </xf>
    <xf numFmtId="166" fontId="8" fillId="7" borderId="20" xfId="0" applyNumberFormat="1" applyFont="1" applyFill="1" applyBorder="1" applyAlignment="1">
      <alignment horizontal="center" vertical="center" wrapText="1"/>
    </xf>
    <xf numFmtId="166" fontId="8" fillId="7" borderId="21" xfId="0" applyNumberFormat="1" applyFont="1" applyFill="1" applyBorder="1" applyAlignment="1">
      <alignment horizontal="center" vertical="center" wrapText="1"/>
    </xf>
    <xf numFmtId="0" fontId="16" fillId="2" borderId="15" xfId="0" applyFont="1" applyFill="1" applyBorder="1" applyAlignment="1">
      <alignment vertical="center" wrapText="1"/>
    </xf>
    <xf numFmtId="165" fontId="8" fillId="2" borderId="12" xfId="0" applyNumberFormat="1" applyFont="1" applyFill="1" applyBorder="1" applyAlignment="1">
      <alignment vertical="center" shrinkToFit="1"/>
    </xf>
    <xf numFmtId="165" fontId="8" fillId="9" borderId="12" xfId="0" applyNumberFormat="1" applyFont="1" applyFill="1" applyBorder="1" applyAlignment="1">
      <alignment vertical="center" shrinkToFit="1"/>
    </xf>
    <xf numFmtId="166" fontId="8" fillId="2" borderId="12" xfId="0" applyNumberFormat="1" applyFont="1" applyFill="1" applyBorder="1" applyAlignment="1">
      <alignment vertical="center" wrapText="1"/>
    </xf>
    <xf numFmtId="166" fontId="8" fillId="2" borderId="16" xfId="0" applyNumberFormat="1" applyFont="1" applyFill="1" applyBorder="1" applyAlignment="1">
      <alignment vertical="center" wrapText="1"/>
    </xf>
    <xf numFmtId="166" fontId="8" fillId="2" borderId="0" xfId="0" applyNumberFormat="1" applyFont="1" applyFill="1" applyBorder="1" applyAlignment="1">
      <alignment vertical="center" wrapText="1"/>
    </xf>
    <xf numFmtId="0" fontId="16" fillId="2" borderId="13" xfId="0" applyFont="1" applyFill="1" applyBorder="1" applyAlignment="1">
      <alignment vertical="center" wrapText="1"/>
    </xf>
    <xf numFmtId="165" fontId="8" fillId="2" borderId="11" xfId="0" applyNumberFormat="1" applyFont="1" applyFill="1" applyBorder="1" applyAlignment="1">
      <alignment vertical="center" shrinkToFit="1"/>
    </xf>
    <xf numFmtId="166" fontId="8" fillId="2" borderId="11" xfId="0" applyNumberFormat="1" applyFont="1" applyFill="1" applyBorder="1" applyAlignment="1">
      <alignment vertical="center" wrapText="1"/>
    </xf>
    <xf numFmtId="166" fontId="8" fillId="2" borderId="14" xfId="0" applyNumberFormat="1" applyFont="1" applyFill="1" applyBorder="1" applyAlignment="1">
      <alignment vertical="center" wrapText="1"/>
    </xf>
    <xf numFmtId="165" fontId="8" fillId="0" borderId="0" xfId="0" applyNumberFormat="1" applyFont="1" applyFill="1" applyBorder="1" applyAlignment="1">
      <alignment vertical="center" shrinkToFit="1"/>
    </xf>
    <xf numFmtId="165" fontId="8" fillId="9" borderId="0" xfId="0" applyNumberFormat="1" applyFont="1" applyFill="1" applyBorder="1" applyAlignment="1">
      <alignment vertical="center" shrinkToFit="1"/>
    </xf>
    <xf numFmtId="165" fontId="4" fillId="9" borderId="0" xfId="0" applyNumberFormat="1" applyFont="1" applyFill="1" applyBorder="1" applyAlignment="1">
      <alignment vertical="center" shrinkToFit="1"/>
    </xf>
    <xf numFmtId="0" fontId="4" fillId="0" borderId="19" xfId="0" applyFont="1" applyFill="1" applyBorder="1" applyAlignment="1">
      <alignment vertical="center" wrapText="1"/>
    </xf>
    <xf numFmtId="165" fontId="8" fillId="0" borderId="1" xfId="0" applyNumberFormat="1" applyFont="1" applyFill="1" applyBorder="1" applyAlignment="1">
      <alignment vertical="center" shrinkToFit="1"/>
    </xf>
    <xf numFmtId="165" fontId="4" fillId="9" borderId="1" xfId="0" applyNumberFormat="1" applyFont="1" applyFill="1" applyBorder="1" applyAlignment="1">
      <alignment vertical="center" shrinkToFit="1"/>
    </xf>
    <xf numFmtId="166" fontId="4" fillId="0" borderId="20" xfId="0" applyNumberFormat="1" applyFont="1" applyBorder="1" applyAlignment="1">
      <alignment vertical="center" wrapText="1"/>
    </xf>
    <xf numFmtId="166" fontId="4" fillId="0" borderId="21" xfId="0" applyNumberFormat="1" applyFont="1" applyBorder="1" applyAlignment="1">
      <alignment vertical="center" wrapText="1"/>
    </xf>
    <xf numFmtId="0" fontId="2" fillId="0" borderId="0" xfId="0" applyFont="1" applyFill="1" applyBorder="1" applyAlignment="1">
      <alignment vertical="center" wrapText="1"/>
    </xf>
    <xf numFmtId="166" fontId="4" fillId="0" borderId="12" xfId="0" applyNumberFormat="1" applyFont="1" applyBorder="1" applyAlignment="1">
      <alignment vertical="center" wrapText="1"/>
    </xf>
    <xf numFmtId="166" fontId="4" fillId="0" borderId="16" xfId="0" applyNumberFormat="1" applyFont="1" applyBorder="1" applyAlignment="1">
      <alignment vertical="center" wrapText="1"/>
    </xf>
    <xf numFmtId="0" fontId="4" fillId="0" borderId="0" xfId="0" applyFont="1" applyFill="1" applyBorder="1" applyAlignment="1">
      <alignment vertical="center" wrapText="1"/>
    </xf>
    <xf numFmtId="166" fontId="8" fillId="0" borderId="0" xfId="0" applyNumberFormat="1" applyFont="1" applyFill="1" applyBorder="1" applyAlignment="1">
      <alignment vertical="center" wrapText="1"/>
    </xf>
    <xf numFmtId="166" fontId="8" fillId="0" borderId="17" xfId="0" applyNumberFormat="1" applyFont="1" applyFill="1" applyBorder="1" applyAlignment="1">
      <alignment vertical="center" wrapText="1"/>
    </xf>
    <xf numFmtId="165" fontId="8" fillId="0" borderId="0" xfId="0" applyNumberFormat="1" applyFont="1" applyFill="1" applyBorder="1" applyAlignment="1">
      <alignment vertical="center" wrapText="1"/>
    </xf>
    <xf numFmtId="49" fontId="10" fillId="0" borderId="6" xfId="0" applyNumberFormat="1" applyFont="1" applyFill="1" applyBorder="1" applyAlignment="1">
      <alignment horizontal="center" vertical="center" wrapText="1"/>
    </xf>
    <xf numFmtId="165" fontId="8" fillId="3" borderId="6" xfId="0" applyNumberFormat="1" applyFont="1" applyFill="1" applyBorder="1" applyAlignment="1">
      <alignment vertical="center" shrinkToFit="1"/>
    </xf>
    <xf numFmtId="165" fontId="8" fillId="0" borderId="6" xfId="0" applyNumberFormat="1" applyFont="1" applyFill="1" applyBorder="1" applyAlignment="1">
      <alignment vertical="center" shrinkToFit="1"/>
    </xf>
    <xf numFmtId="165" fontId="4" fillId="3" borderId="6" xfId="0" applyNumberFormat="1" applyFont="1" applyFill="1" applyBorder="1" applyAlignment="1">
      <alignment vertical="center" shrinkToFit="1"/>
    </xf>
    <xf numFmtId="165" fontId="4" fillId="10" borderId="6" xfId="0" applyNumberFormat="1" applyFont="1" applyFill="1" applyBorder="1" applyAlignment="1">
      <alignment vertical="center" shrinkToFit="1"/>
    </xf>
    <xf numFmtId="165" fontId="8" fillId="0" borderId="6" xfId="0" applyNumberFormat="1" applyFont="1" applyBorder="1" applyAlignment="1">
      <alignment vertical="center" shrinkToFit="1"/>
    </xf>
    <xf numFmtId="165" fontId="8" fillId="9" borderId="6" xfId="0" applyNumberFormat="1" applyFont="1" applyFill="1" applyBorder="1" applyAlignment="1">
      <alignment vertical="center" shrinkToFit="1"/>
    </xf>
    <xf numFmtId="165" fontId="4" fillId="3" borderId="20" xfId="0" applyNumberFormat="1" applyFont="1" applyFill="1" applyBorder="1" applyAlignment="1">
      <alignment vertical="center" shrinkToFit="1"/>
    </xf>
    <xf numFmtId="165" fontId="4" fillId="0" borderId="20" xfId="0" applyNumberFormat="1" applyFont="1" applyBorder="1" applyAlignment="1">
      <alignment vertical="center" shrinkToFit="1"/>
    </xf>
    <xf numFmtId="165" fontId="4" fillId="0" borderId="20" xfId="0" applyNumberFormat="1" applyFont="1" applyFill="1" applyBorder="1" applyAlignment="1">
      <alignment vertical="center" shrinkToFit="1"/>
    </xf>
    <xf numFmtId="166" fontId="15" fillId="0" borderId="0" xfId="0" applyNumberFormat="1" applyFont="1" applyBorder="1" applyAlignment="1">
      <alignment vertical="center" wrapText="1"/>
    </xf>
    <xf numFmtId="0" fontId="16" fillId="0" borderId="5" xfId="0" applyFont="1" applyFill="1" applyBorder="1" applyAlignment="1">
      <alignment vertical="center" wrapText="1"/>
    </xf>
    <xf numFmtId="165" fontId="8" fillId="3" borderId="6" xfId="0" applyNumberFormat="1" applyFont="1" applyFill="1" applyBorder="1" applyAlignment="1">
      <alignment horizontal="right" vertical="center" shrinkToFit="1"/>
    </xf>
    <xf numFmtId="166" fontId="3" fillId="0" borderId="6" xfId="0" applyNumberFormat="1" applyFont="1" applyBorder="1" applyAlignment="1">
      <alignment vertical="center" wrapText="1"/>
    </xf>
    <xf numFmtId="49" fontId="10" fillId="0" borderId="6" xfId="0" applyNumberFormat="1" applyFont="1" applyFill="1" applyBorder="1" applyAlignment="1">
      <alignment horizontal="center" vertical="center" wrapText="1"/>
    </xf>
    <xf numFmtId="166" fontId="15" fillId="0" borderId="17" xfId="0" applyNumberFormat="1" applyFont="1" applyFill="1" applyBorder="1" applyAlignment="1">
      <alignment vertical="center" wrapText="1"/>
    </xf>
    <xf numFmtId="166" fontId="15" fillId="0" borderId="1" xfId="0" applyNumberFormat="1" applyFont="1" applyFill="1" applyBorder="1" applyAlignment="1">
      <alignment vertical="center" wrapText="1"/>
    </xf>
    <xf numFmtId="0" fontId="1" fillId="0" borderId="0" xfId="0" applyFont="1" applyAlignment="1">
      <alignment vertical="center" wrapText="1"/>
    </xf>
    <xf numFmtId="0" fontId="1" fillId="7" borderId="0" xfId="0" applyFont="1" applyFill="1" applyAlignment="1">
      <alignment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0" fontId="3" fillId="8" borderId="0" xfId="0" applyFont="1" applyFill="1" applyAlignment="1">
      <alignment horizontal="center" vertical="center" wrapText="1"/>
    </xf>
    <xf numFmtId="0" fontId="1" fillId="0" borderId="0" xfId="0" applyFont="1" applyAlignment="1">
      <alignment vertical="center"/>
    </xf>
    <xf numFmtId="165" fontId="1" fillId="7" borderId="0" xfId="0" applyNumberFormat="1" applyFont="1" applyFill="1" applyAlignment="1">
      <alignment vertical="center" shrinkToFit="1"/>
    </xf>
    <xf numFmtId="166" fontId="1" fillId="0" borderId="0" xfId="0" applyNumberFormat="1" applyFont="1" applyAlignment="1">
      <alignment vertical="center" shrinkToFit="1"/>
    </xf>
    <xf numFmtId="166" fontId="1" fillId="7" borderId="0" xfId="0" applyNumberFormat="1" applyFont="1" applyFill="1" applyAlignment="1">
      <alignment vertical="center" shrinkToFit="1"/>
    </xf>
    <xf numFmtId="165" fontId="1" fillId="0" borderId="0" xfId="0" applyNumberFormat="1" applyFont="1" applyAlignment="1">
      <alignment vertical="center" shrinkToFit="1"/>
    </xf>
    <xf numFmtId="0" fontId="3" fillId="7" borderId="0" xfId="0" applyFont="1" applyFill="1" applyAlignment="1">
      <alignment vertical="center"/>
    </xf>
    <xf numFmtId="166" fontId="3" fillId="7" borderId="0" xfId="0" applyNumberFormat="1" applyFont="1" applyFill="1" applyAlignment="1">
      <alignment vertical="center" shrinkToFit="1"/>
    </xf>
    <xf numFmtId="166" fontId="1" fillId="0" borderId="0" xfId="0" applyNumberFormat="1" applyFont="1" applyAlignment="1">
      <alignment vertical="center"/>
    </xf>
    <xf numFmtId="0" fontId="0" fillId="0" borderId="0" xfId="0" applyFont="1" applyAlignment="1">
      <alignment vertical="center"/>
    </xf>
    <xf numFmtId="165" fontId="0" fillId="7" borderId="0" xfId="0" applyNumberFormat="1" applyFont="1" applyFill="1" applyAlignment="1">
      <alignment vertical="center" shrinkToFit="1"/>
    </xf>
    <xf numFmtId="166" fontId="0" fillId="0" borderId="0" xfId="0" applyNumberFormat="1" applyFont="1" applyAlignment="1">
      <alignment vertical="center" shrinkToFit="1"/>
    </xf>
    <xf numFmtId="170" fontId="0" fillId="8" borderId="0" xfId="0" applyNumberFormat="1" applyFont="1" applyFill="1" applyAlignment="1">
      <alignment vertical="center" shrinkToFit="1"/>
    </xf>
    <xf numFmtId="166" fontId="0" fillId="7" borderId="0" xfId="0" applyNumberFormat="1" applyFont="1" applyFill="1" applyAlignment="1">
      <alignment vertical="center" shrinkToFit="1"/>
    </xf>
    <xf numFmtId="165" fontId="0" fillId="0" borderId="0" xfId="0" applyNumberFormat="1" applyFont="1" applyAlignment="1">
      <alignment vertical="center" shrinkToFit="1"/>
    </xf>
    <xf numFmtId="0" fontId="1" fillId="0" borderId="0" xfId="0" applyFont="1" applyFill="1" applyAlignment="1">
      <alignment vertical="center" wrapText="1"/>
    </xf>
    <xf numFmtId="0" fontId="1" fillId="0" borderId="0" xfId="0" applyFont="1" applyFill="1" applyAlignment="1">
      <alignment horizontal="right" vertical="center" wrapText="1"/>
    </xf>
    <xf numFmtId="0" fontId="19" fillId="0" borderId="5" xfId="0" applyFont="1" applyFill="1" applyBorder="1" applyAlignment="1">
      <alignment horizontal="center" vertical="center" wrapText="1"/>
    </xf>
    <xf numFmtId="166" fontId="1" fillId="0" borderId="0" xfId="0" applyNumberFormat="1" applyFont="1" applyAlignment="1">
      <alignment vertical="center" wrapText="1"/>
    </xf>
    <xf numFmtId="166" fontId="3" fillId="0" borderId="0" xfId="0" applyNumberFormat="1" applyFont="1" applyAlignment="1">
      <alignment vertical="center" wrapText="1"/>
    </xf>
    <xf numFmtId="166" fontId="3" fillId="0" borderId="0" xfId="0" applyNumberFormat="1" applyFont="1" applyFill="1" applyAlignment="1">
      <alignment vertical="center" wrapText="1"/>
    </xf>
    <xf numFmtId="166" fontId="1" fillId="0" borderId="0" xfId="0" applyNumberFormat="1" applyFont="1" applyFill="1" applyAlignment="1">
      <alignment vertical="center" wrapText="1"/>
    </xf>
    <xf numFmtId="0" fontId="1" fillId="0" borderId="0" xfId="0" applyFont="1" applyFill="1" applyAlignment="1">
      <alignment horizontal="right" vertical="center"/>
    </xf>
    <xf numFmtId="0" fontId="3" fillId="0" borderId="0" xfId="0" applyFont="1" applyFill="1" applyAlignment="1">
      <alignment horizontal="center" vertical="center" wrapText="1"/>
    </xf>
    <xf numFmtId="0" fontId="20" fillId="0" borderId="6"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0" xfId="0" applyFont="1" applyFill="1" applyAlignment="1">
      <alignment horizontal="center" vertical="center" wrapText="1"/>
    </xf>
    <xf numFmtId="49" fontId="10" fillId="0" borderId="5" xfId="0" applyNumberFormat="1" applyFont="1" applyFill="1" applyBorder="1" applyAlignment="1">
      <alignment horizontal="center" vertical="center" wrapText="1"/>
    </xf>
    <xf numFmtId="49" fontId="19" fillId="0" borderId="6" xfId="0" applyNumberFormat="1" applyFont="1" applyFill="1" applyBorder="1" applyAlignment="1">
      <alignment horizontal="center" vertical="center" wrapText="1"/>
    </xf>
    <xf numFmtId="49" fontId="19" fillId="0" borderId="0" xfId="0" applyNumberFormat="1" applyFont="1" applyFill="1" applyAlignment="1">
      <alignment horizontal="center" vertical="center" wrapText="1"/>
    </xf>
    <xf numFmtId="166" fontId="0" fillId="0" borderId="6" xfId="0" applyNumberFormat="1" applyFont="1" applyFill="1" applyBorder="1" applyAlignment="1">
      <alignment vertical="center" wrapText="1"/>
    </xf>
    <xf numFmtId="166" fontId="0" fillId="0" borderId="10" xfId="0" applyNumberFormat="1" applyFont="1" applyFill="1" applyBorder="1" applyAlignment="1">
      <alignment vertical="center" wrapText="1"/>
    </xf>
    <xf numFmtId="166" fontId="8" fillId="7" borderId="12" xfId="0" applyNumberFormat="1" applyFont="1" applyFill="1" applyBorder="1" applyAlignment="1">
      <alignment vertical="center" wrapText="1"/>
    </xf>
    <xf numFmtId="166" fontId="8" fillId="7" borderId="21" xfId="0" applyNumberFormat="1" applyFont="1" applyFill="1" applyBorder="1" applyAlignment="1">
      <alignment vertical="center" wrapText="1"/>
    </xf>
    <xf numFmtId="166" fontId="3" fillId="5" borderId="20" xfId="0" applyNumberFormat="1" applyFont="1" applyFill="1" applyBorder="1" applyAlignment="1">
      <alignment vertical="center" wrapText="1"/>
    </xf>
    <xf numFmtId="166" fontId="3" fillId="5" borderId="21" xfId="0" applyNumberFormat="1" applyFont="1" applyFill="1" applyBorder="1" applyAlignment="1">
      <alignment vertical="center" wrapText="1"/>
    </xf>
    <xf numFmtId="166" fontId="3" fillId="0" borderId="6" xfId="0" applyNumberFormat="1" applyFont="1" applyFill="1" applyBorder="1" applyAlignment="1">
      <alignment vertical="center" wrapText="1"/>
    </xf>
    <xf numFmtId="0" fontId="3" fillId="5" borderId="19" xfId="0" applyFont="1" applyFill="1" applyBorder="1" applyAlignment="1">
      <alignment vertical="center" wrapText="1"/>
    </xf>
    <xf numFmtId="166" fontId="3" fillId="0" borderId="10" xfId="0" applyNumberFormat="1" applyFont="1" applyFill="1" applyBorder="1" applyAlignment="1">
      <alignment vertical="center" wrapText="1"/>
    </xf>
    <xf numFmtId="166" fontId="3" fillId="5" borderId="0" xfId="0" applyNumberFormat="1" applyFont="1" applyFill="1" applyAlignment="1">
      <alignment vertical="center" wrapText="1"/>
    </xf>
    <xf numFmtId="0" fontId="19" fillId="0" borderId="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166" fontId="4" fillId="0" borderId="0" xfId="0" applyNumberFormat="1" applyFont="1" applyAlignment="1">
      <alignment vertical="center" shrinkToFit="1"/>
    </xf>
    <xf numFmtId="170" fontId="3" fillId="7" borderId="0" xfId="0" applyNumberFormat="1" applyFont="1" applyFill="1" applyAlignment="1">
      <alignment vertical="center" shrinkToFit="1"/>
    </xf>
    <xf numFmtId="166" fontId="1" fillId="0" borderId="0" xfId="0" applyNumberFormat="1" applyFont="1" applyBorder="1" applyAlignment="1">
      <alignment vertical="center" wrapText="1"/>
    </xf>
    <xf numFmtId="49" fontId="10" fillId="0" borderId="10" xfId="0" applyNumberFormat="1" applyFont="1" applyFill="1" applyBorder="1" applyAlignment="1">
      <alignment horizontal="center" vertical="center" wrapText="1"/>
    </xf>
    <xf numFmtId="0" fontId="2" fillId="0" borderId="6" xfId="0" applyFont="1" applyBorder="1" applyAlignment="1">
      <alignment vertical="center" wrapText="1"/>
    </xf>
    <xf numFmtId="0" fontId="2" fillId="0" borderId="10" xfId="0" applyFont="1" applyBorder="1" applyAlignment="1">
      <alignment vertical="center" wrapText="1"/>
    </xf>
    <xf numFmtId="166" fontId="14" fillId="0" borderId="6" xfId="0" applyNumberFormat="1" applyFont="1" applyFill="1" applyBorder="1" applyAlignment="1">
      <alignment vertical="center" wrapText="1"/>
    </xf>
    <xf numFmtId="0" fontId="8" fillId="5" borderId="5" xfId="0" applyFont="1" applyFill="1" applyBorder="1" applyAlignment="1">
      <alignment vertical="center" wrapText="1"/>
    </xf>
    <xf numFmtId="166" fontId="8" fillId="5" borderId="6" xfId="0" applyNumberFormat="1" applyFont="1" applyFill="1" applyBorder="1" applyAlignment="1">
      <alignment vertical="center" wrapText="1"/>
    </xf>
    <xf numFmtId="166" fontId="8" fillId="5" borderId="10" xfId="0" applyNumberFormat="1" applyFont="1" applyFill="1" applyBorder="1" applyAlignment="1">
      <alignment vertical="center" wrapText="1"/>
    </xf>
    <xf numFmtId="0" fontId="8" fillId="0" borderId="5" xfId="0" applyFont="1" applyBorder="1" applyAlignment="1">
      <alignment horizontal="left" vertical="center" wrapText="1"/>
    </xf>
    <xf numFmtId="166" fontId="13" fillId="0" borderId="6" xfId="0" applyNumberFormat="1" applyFont="1" applyBorder="1" applyAlignment="1">
      <alignment vertical="center" wrapText="1"/>
    </xf>
    <xf numFmtId="166" fontId="13" fillId="0" borderId="10" xfId="0" applyNumberFormat="1" applyFont="1" applyBorder="1" applyAlignment="1">
      <alignment vertical="center" wrapText="1"/>
    </xf>
    <xf numFmtId="165" fontId="13" fillId="0" borderId="0" xfId="0" applyNumberFormat="1" applyFont="1" applyAlignment="1">
      <alignment vertical="center" wrapText="1"/>
    </xf>
    <xf numFmtId="166" fontId="2" fillId="0" borderId="10" xfId="0" applyNumberFormat="1" applyFont="1" applyBorder="1" applyAlignment="1">
      <alignment vertical="center" wrapText="1"/>
    </xf>
    <xf numFmtId="0" fontId="0" fillId="0" borderId="0" xfId="0" applyFont="1" applyAlignment="1">
      <alignment vertical="center" wrapText="1"/>
    </xf>
    <xf numFmtId="166" fontId="0" fillId="0" borderId="0" xfId="0" applyNumberFormat="1" applyFont="1" applyAlignment="1">
      <alignment vertical="center" wrapText="1"/>
    </xf>
    <xf numFmtId="0" fontId="0" fillId="0" borderId="5" xfId="0" applyFont="1" applyBorder="1" applyAlignment="1">
      <alignment vertical="center" wrapText="1"/>
    </xf>
    <xf numFmtId="166" fontId="0" fillId="0" borderId="6" xfId="0" applyNumberFormat="1" applyFont="1" applyBorder="1" applyAlignment="1">
      <alignment vertical="center" wrapText="1"/>
    </xf>
    <xf numFmtId="166" fontId="0" fillId="0" borderId="10" xfId="0" applyNumberFormat="1" applyFont="1" applyBorder="1" applyAlignment="1">
      <alignment vertical="center" wrapText="1"/>
    </xf>
    <xf numFmtId="0" fontId="3" fillId="5" borderId="5" xfId="0" applyFont="1" applyFill="1" applyBorder="1" applyAlignment="1">
      <alignment vertical="center" wrapText="1"/>
    </xf>
    <xf numFmtId="166" fontId="3" fillId="5" borderId="6" xfId="0" applyNumberFormat="1" applyFont="1" applyFill="1" applyBorder="1" applyAlignment="1">
      <alignment vertical="center" wrapText="1"/>
    </xf>
    <xf numFmtId="166" fontId="3" fillId="5" borderId="10" xfId="0" applyNumberFormat="1" applyFont="1" applyFill="1" applyBorder="1" applyAlignment="1">
      <alignment vertical="center" wrapText="1"/>
    </xf>
    <xf numFmtId="0" fontId="3" fillId="0" borderId="0" xfId="0" applyFont="1" applyAlignment="1">
      <alignment horizontal="center" vertical="center" wrapText="1"/>
    </xf>
    <xf numFmtId="166" fontId="0" fillId="0" borderId="0" xfId="0" applyNumberFormat="1" applyFont="1" applyFill="1" applyAlignment="1">
      <alignment vertical="center" wrapText="1"/>
    </xf>
    <xf numFmtId="0" fontId="0" fillId="0" borderId="0" xfId="0" applyFont="1" applyFill="1" applyAlignment="1">
      <alignment vertical="center" wrapText="1"/>
    </xf>
    <xf numFmtId="0" fontId="0" fillId="0" borderId="5" xfId="0" applyFont="1" applyFill="1" applyBorder="1" applyAlignment="1">
      <alignment vertical="center" wrapText="1"/>
    </xf>
    <xf numFmtId="166" fontId="0" fillId="0" borderId="6" xfId="0" applyNumberFormat="1" applyBorder="1" applyAlignment="1">
      <alignment vertical="center" wrapText="1"/>
    </xf>
    <xf numFmtId="166" fontId="0" fillId="0" borderId="0" xfId="0" applyNumberFormat="1" applyFill="1" applyAlignment="1">
      <alignment vertical="center" wrapText="1"/>
    </xf>
    <xf numFmtId="0" fontId="0" fillId="0" borderId="0" xfId="0" applyAlignment="1">
      <alignment vertical="center" wrapText="1"/>
    </xf>
    <xf numFmtId="166" fontId="0" fillId="0" borderId="0" xfId="0" applyNumberFormat="1" applyAlignment="1">
      <alignment vertical="center" wrapText="1"/>
    </xf>
    <xf numFmtId="0" fontId="19" fillId="0" borderId="0" xfId="0" applyFont="1" applyFill="1" applyAlignment="1">
      <alignment horizontal="center" vertical="center" wrapText="1"/>
    </xf>
    <xf numFmtId="166" fontId="3" fillId="0" borderId="0" xfId="0" applyNumberFormat="1" applyFont="1" applyAlignment="1">
      <alignment horizontal="center" vertical="center" wrapText="1"/>
    </xf>
    <xf numFmtId="0" fontId="0" fillId="0" borderId="0" xfId="0" applyFont="1" applyFill="1" applyAlignment="1">
      <alignment horizontal="right" vertical="center" wrapText="1"/>
    </xf>
    <xf numFmtId="0" fontId="3" fillId="7" borderId="5" xfId="0" applyFont="1" applyFill="1" applyBorder="1" applyAlignment="1">
      <alignment vertical="center" wrapText="1"/>
    </xf>
    <xf numFmtId="166" fontId="3" fillId="7" borderId="6" xfId="0" applyNumberFormat="1" applyFont="1" applyFill="1" applyBorder="1" applyAlignment="1">
      <alignment vertical="center" wrapText="1"/>
    </xf>
    <xf numFmtId="166" fontId="3" fillId="7" borderId="10" xfId="0" applyNumberFormat="1" applyFont="1" applyFill="1" applyBorder="1" applyAlignment="1">
      <alignment vertical="center" wrapText="1"/>
    </xf>
    <xf numFmtId="0" fontId="3" fillId="7" borderId="19" xfId="0" applyFont="1" applyFill="1" applyBorder="1" applyAlignment="1">
      <alignment vertical="center" wrapText="1"/>
    </xf>
    <xf numFmtId="166" fontId="3" fillId="7" borderId="20" xfId="0" applyNumberFormat="1" applyFont="1" applyFill="1" applyBorder="1" applyAlignment="1">
      <alignment vertical="center" wrapText="1"/>
    </xf>
    <xf numFmtId="166" fontId="3" fillId="7" borderId="21" xfId="0" applyNumberFormat="1" applyFont="1" applyFill="1" applyBorder="1" applyAlignment="1">
      <alignment vertical="center" wrapText="1"/>
    </xf>
    <xf numFmtId="171" fontId="8" fillId="7" borderId="6" xfId="0" applyNumberFormat="1" applyFont="1" applyFill="1" applyBorder="1" applyAlignment="1">
      <alignment horizontal="right" vertical="center" shrinkToFit="1"/>
    </xf>
    <xf numFmtId="171" fontId="8" fillId="7" borderId="20" xfId="0" applyNumberFormat="1" applyFont="1" applyFill="1" applyBorder="1" applyAlignment="1">
      <alignment horizontal="right" vertical="center" shrinkToFit="1"/>
    </xf>
    <xf numFmtId="0" fontId="3" fillId="0" borderId="0" xfId="0" applyFont="1" applyAlignment="1">
      <alignment horizontal="center" vertical="center" wrapText="1"/>
    </xf>
    <xf numFmtId="166" fontId="3" fillId="7" borderId="0" xfId="0" applyNumberFormat="1" applyFont="1" applyFill="1" applyAlignment="1">
      <alignment vertical="center" wrapText="1"/>
    </xf>
    <xf numFmtId="0" fontId="13" fillId="0" borderId="5" xfId="0" applyFont="1" applyBorder="1" applyAlignment="1">
      <alignment vertical="center" wrapText="1"/>
    </xf>
    <xf numFmtId="166" fontId="13" fillId="0" borderId="0" xfId="0" applyNumberFormat="1" applyFont="1" applyBorder="1" applyAlignment="1">
      <alignment vertical="center" wrapText="1"/>
    </xf>
    <xf numFmtId="166" fontId="23" fillId="0" borderId="6" xfId="0" applyNumberFormat="1" applyFont="1" applyBorder="1" applyAlignment="1">
      <alignment horizontal="center" vertical="center" wrapText="1"/>
    </xf>
    <xf numFmtId="166" fontId="23" fillId="0" borderId="6" xfId="0" applyNumberFormat="1" applyFont="1" applyBorder="1" applyAlignment="1">
      <alignment vertical="center" wrapText="1"/>
    </xf>
    <xf numFmtId="165" fontId="13" fillId="2" borderId="6" xfId="0" applyNumberFormat="1" applyFont="1" applyFill="1" applyBorder="1" applyAlignment="1">
      <alignment vertical="center" shrinkToFit="1"/>
    </xf>
    <xf numFmtId="0" fontId="2" fillId="0" borderId="5" xfId="0" applyFont="1" applyBorder="1" applyAlignment="1">
      <alignment vertical="center" wrapText="1"/>
    </xf>
    <xf numFmtId="166" fontId="15" fillId="0" borderId="6" xfId="0" applyNumberFormat="1" applyFont="1" applyBorder="1" applyAlignment="1">
      <alignment vertical="center" wrapText="1"/>
    </xf>
    <xf numFmtId="166" fontId="23" fillId="0" borderId="10" xfId="0" applyNumberFormat="1" applyFont="1" applyBorder="1" applyAlignment="1">
      <alignment vertical="center" wrapText="1"/>
    </xf>
    <xf numFmtId="166" fontId="23" fillId="0" borderId="0" xfId="0" applyNumberFormat="1" applyFont="1" applyBorder="1" applyAlignment="1">
      <alignment vertical="center" wrapText="1"/>
    </xf>
    <xf numFmtId="0" fontId="8" fillId="0" borderId="5" xfId="0" applyFont="1" applyBorder="1" applyAlignment="1">
      <alignment horizontal="center" vertical="center" wrapText="1"/>
    </xf>
    <xf numFmtId="165" fontId="2" fillId="0" borderId="6" xfId="0" applyNumberFormat="1" applyFont="1" applyBorder="1" applyAlignment="1">
      <alignment vertical="center" shrinkToFit="1"/>
    </xf>
    <xf numFmtId="165" fontId="4" fillId="0" borderId="6" xfId="0" applyNumberFormat="1" applyFont="1" applyBorder="1" applyAlignment="1">
      <alignment vertical="center" wrapText="1"/>
    </xf>
    <xf numFmtId="165" fontId="4" fillId="0" borderId="10" xfId="0" applyNumberFormat="1" applyFont="1" applyBorder="1" applyAlignment="1">
      <alignment vertical="center" wrapText="1"/>
    </xf>
    <xf numFmtId="165" fontId="13" fillId="5" borderId="6" xfId="0" applyNumberFormat="1" applyFont="1" applyFill="1" applyBorder="1" applyAlignment="1">
      <alignment vertical="center" shrinkToFit="1"/>
    </xf>
    <xf numFmtId="165" fontId="2" fillId="0" borderId="6" xfId="0" applyNumberFormat="1" applyFont="1" applyFill="1" applyBorder="1" applyAlignment="1">
      <alignment vertical="center" shrinkToFit="1"/>
    </xf>
    <xf numFmtId="166" fontId="2" fillId="0" borderId="10" xfId="0" applyNumberFormat="1" applyFont="1" applyFill="1" applyBorder="1" applyAlignment="1">
      <alignment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166" fontId="8" fillId="7" borderId="6" xfId="0" applyNumberFormat="1" applyFont="1" applyFill="1" applyBorder="1" applyAlignment="1">
      <alignment vertical="center" wrapText="1" shrinkToFit="1"/>
    </xf>
    <xf numFmtId="166" fontId="8" fillId="7" borderId="10" xfId="0" applyNumberFormat="1" applyFont="1" applyFill="1" applyBorder="1" applyAlignment="1">
      <alignment vertical="center" wrapText="1" shrinkToFit="1"/>
    </xf>
    <xf numFmtId="0" fontId="3" fillId="0" borderId="0" xfId="0" applyFont="1" applyAlignment="1">
      <alignment horizontal="center" vertical="center" wrapText="1"/>
    </xf>
    <xf numFmtId="4" fontId="0" fillId="7" borderId="0" xfId="0" applyNumberFormat="1" applyFill="1" applyBorder="1" applyAlignment="1">
      <alignment shrinkToFit="1"/>
    </xf>
    <xf numFmtId="0" fontId="3" fillId="0" borderId="6" xfId="0" applyFont="1" applyBorder="1" applyAlignment="1">
      <alignment horizontal="center" vertical="center" wrapText="1"/>
    </xf>
    <xf numFmtId="49" fontId="25" fillId="0" borderId="10" xfId="0" applyNumberFormat="1"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3" fillId="0" borderId="0" xfId="0" applyFont="1" applyAlignment="1">
      <alignment vertical="center" wrapText="1"/>
    </xf>
    <xf numFmtId="0" fontId="21" fillId="0" borderId="0" xfId="0" applyFont="1" applyAlignment="1">
      <alignment vertical="center" wrapText="1"/>
    </xf>
    <xf numFmtId="0" fontId="19" fillId="0" borderId="7" xfId="0" applyFont="1" applyBorder="1" applyAlignment="1">
      <alignment horizontal="center" vertical="center" wrapText="1"/>
    </xf>
    <xf numFmtId="166" fontId="0" fillId="0" borderId="7" xfId="0" applyNumberFormat="1" applyFont="1" applyBorder="1" applyAlignment="1">
      <alignment vertical="center" wrapText="1"/>
    </xf>
    <xf numFmtId="166" fontId="3" fillId="5" borderId="7" xfId="0" applyNumberFormat="1" applyFont="1" applyFill="1" applyBorder="1" applyAlignment="1">
      <alignment vertical="center" wrapText="1"/>
    </xf>
    <xf numFmtId="166" fontId="3" fillId="5" borderId="25" xfId="0" applyNumberFormat="1" applyFont="1" applyFill="1" applyBorder="1" applyAlignment="1">
      <alignment vertical="center" wrapText="1"/>
    </xf>
    <xf numFmtId="0" fontId="0" fillId="0" borderId="1" xfId="0" applyFont="1" applyBorder="1" applyAlignment="1">
      <alignment wrapText="1"/>
    </xf>
    <xf numFmtId="0" fontId="0" fillId="0" borderId="1" xfId="0" applyFont="1" applyBorder="1" applyAlignment="1">
      <alignment vertical="center" wrapText="1"/>
    </xf>
    <xf numFmtId="0" fontId="20" fillId="0" borderId="7" xfId="0" applyFont="1" applyBorder="1" applyAlignment="1">
      <alignment horizontal="center" vertical="center" wrapText="1"/>
    </xf>
    <xf numFmtId="0" fontId="0" fillId="0" borderId="0" xfId="0" applyFont="1" applyAlignment="1">
      <alignment vertical="top" wrapText="1"/>
    </xf>
    <xf numFmtId="166" fontId="0" fillId="0" borderId="0" xfId="0" applyNumberFormat="1" applyFont="1" applyAlignment="1">
      <alignment vertical="top" wrapText="1"/>
    </xf>
    <xf numFmtId="0" fontId="19" fillId="0" borderId="6"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0" fillId="0" borderId="0" xfId="0" applyFill="1" applyAlignment="1">
      <alignment vertical="center" wrapText="1"/>
    </xf>
    <xf numFmtId="0" fontId="0" fillId="0" borderId="0" xfId="0" applyFont="1" applyBorder="1" applyAlignment="1">
      <alignment vertical="center" wrapText="1"/>
    </xf>
    <xf numFmtId="0" fontId="0" fillId="0" borderId="0" xfId="0" applyFont="1" applyFill="1" applyAlignment="1">
      <alignment vertical="top" wrapText="1"/>
    </xf>
    <xf numFmtId="0" fontId="3" fillId="0" borderId="0" xfId="0" applyFont="1" applyAlignment="1">
      <alignment horizontal="center" vertical="center" wrapText="1"/>
    </xf>
    <xf numFmtId="0" fontId="3" fillId="8" borderId="0" xfId="0" applyFont="1" applyFill="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165" fontId="4" fillId="2" borderId="6" xfId="0" applyNumberFormat="1" applyFont="1" applyFill="1" applyBorder="1" applyAlignment="1">
      <alignment horizontal="right" vertical="center" shrinkToFit="1"/>
    </xf>
    <xf numFmtId="165" fontId="15" fillId="3" borderId="6" xfId="0" applyNumberFormat="1" applyFont="1" applyFill="1" applyBorder="1" applyAlignment="1">
      <alignment horizontal="right" vertical="center" shrinkToFit="1"/>
    </xf>
    <xf numFmtId="165" fontId="4" fillId="3" borderId="6" xfId="0" applyNumberFormat="1" applyFont="1" applyFill="1" applyBorder="1" applyAlignment="1">
      <alignment horizontal="right" vertical="center" shrinkToFit="1"/>
    </xf>
    <xf numFmtId="165" fontId="8" fillId="7" borderId="11" xfId="0" applyNumberFormat="1" applyFont="1" applyFill="1" applyBorder="1" applyAlignment="1">
      <alignment horizontal="right" vertical="center" shrinkToFit="1"/>
    </xf>
    <xf numFmtId="165" fontId="8" fillId="7" borderId="6" xfId="0" applyNumberFormat="1" applyFont="1" applyFill="1" applyBorder="1" applyAlignment="1">
      <alignment horizontal="right" vertical="center" shrinkToFit="1"/>
    </xf>
    <xf numFmtId="165" fontId="8" fillId="7" borderId="20" xfId="0" applyNumberFormat="1" applyFont="1" applyFill="1" applyBorder="1" applyAlignment="1">
      <alignment horizontal="right" vertical="center" shrinkToFit="1"/>
    </xf>
    <xf numFmtId="165" fontId="10" fillId="0" borderId="6" xfId="0" applyNumberFormat="1" applyFont="1" applyFill="1" applyBorder="1" applyAlignment="1">
      <alignment horizontal="center" vertical="center" shrinkToFit="1"/>
    </xf>
    <xf numFmtId="165" fontId="13" fillId="2" borderId="6" xfId="0" applyNumberFormat="1" applyFont="1" applyFill="1" applyBorder="1" applyAlignment="1">
      <alignment horizontal="center" vertical="center" shrinkToFit="1"/>
    </xf>
    <xf numFmtId="165" fontId="13" fillId="4" borderId="6" xfId="0" applyNumberFormat="1" applyFont="1" applyFill="1" applyBorder="1" applyAlignment="1">
      <alignment vertical="center" shrinkToFit="1"/>
    </xf>
    <xf numFmtId="165" fontId="2" fillId="4" borderId="6" xfId="0" applyNumberFormat="1" applyFont="1" applyFill="1" applyBorder="1" applyAlignment="1">
      <alignment vertical="center" shrinkToFit="1"/>
    </xf>
    <xf numFmtId="0" fontId="3" fillId="0" borderId="0" xfId="0" applyFont="1" applyFill="1" applyAlignment="1">
      <alignment horizontal="center" vertical="center" wrapText="1"/>
    </xf>
    <xf numFmtId="170" fontId="1" fillId="0" borderId="0" xfId="0" applyNumberFormat="1" applyFont="1" applyAlignment="1">
      <alignment vertical="center" shrinkToFit="1"/>
    </xf>
    <xf numFmtId="166" fontId="0" fillId="8" borderId="0" xfId="0" applyNumberFormat="1" applyFont="1" applyFill="1" applyAlignment="1">
      <alignment vertical="center" shrinkToFit="1"/>
    </xf>
    <xf numFmtId="166" fontId="0" fillId="0" borderId="0" xfId="0" applyNumberFormat="1" applyFont="1" applyFill="1" applyAlignment="1">
      <alignment vertical="center" shrinkToFit="1"/>
    </xf>
    <xf numFmtId="166" fontId="1" fillId="0" borderId="0" xfId="0" applyNumberFormat="1" applyFont="1" applyFill="1" applyAlignment="1">
      <alignment vertical="center" shrinkToFit="1"/>
    </xf>
    <xf numFmtId="165" fontId="1" fillId="0" borderId="0" xfId="0" applyNumberFormat="1" applyFont="1" applyFill="1" applyAlignment="1">
      <alignment vertical="center" shrinkToFit="1"/>
    </xf>
    <xf numFmtId="0" fontId="3" fillId="0" borderId="0" xfId="0" applyFont="1" applyAlignment="1">
      <alignment horizontal="center" vertical="center" wrapText="1"/>
    </xf>
    <xf numFmtId="166" fontId="3" fillId="0" borderId="0" xfId="0" applyNumberFormat="1" applyFont="1" applyAlignment="1">
      <alignment vertical="center" shrinkToFit="1"/>
    </xf>
    <xf numFmtId="0" fontId="3" fillId="0" borderId="0" xfId="0" applyFont="1" applyAlignment="1">
      <alignment horizontal="center" vertical="center" wrapText="1"/>
    </xf>
    <xf numFmtId="0" fontId="3" fillId="0" borderId="0" xfId="0" applyFont="1" applyAlignment="1">
      <alignment horizontal="center" vertical="center" wrapText="1"/>
    </xf>
    <xf numFmtId="166" fontId="2" fillId="0" borderId="0" xfId="0" applyNumberFormat="1" applyFont="1" applyAlignment="1">
      <alignment vertical="center" shrinkToFit="1"/>
    </xf>
    <xf numFmtId="0" fontId="10" fillId="0" borderId="5" xfId="0" applyFont="1" applyFill="1" applyBorder="1" applyAlignment="1">
      <alignment horizontal="center" vertical="center" wrapText="1" shrinkToFit="1"/>
    </xf>
    <xf numFmtId="49" fontId="10" fillId="0" borderId="6" xfId="0" applyNumberFormat="1" applyFont="1" applyFill="1" applyBorder="1" applyAlignment="1">
      <alignment horizontal="center" vertical="center" wrapText="1" shrinkToFit="1"/>
    </xf>
    <xf numFmtId="0" fontId="10" fillId="0" borderId="6" xfId="0" applyFont="1" applyFill="1" applyBorder="1" applyAlignment="1">
      <alignment horizontal="center" vertical="center" wrapText="1" shrinkToFit="1"/>
    </xf>
    <xf numFmtId="0" fontId="4" fillId="0" borderId="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4" fillId="0" borderId="5" xfId="0" applyFont="1" applyBorder="1" applyAlignment="1">
      <alignment horizontal="left" vertical="center" wrapText="1"/>
    </xf>
    <xf numFmtId="0" fontId="13" fillId="0" borderId="5" xfId="0" applyFont="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8" fillId="0" borderId="6"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Border="1" applyAlignment="1">
      <alignment horizontal="left" vertical="center"/>
    </xf>
    <xf numFmtId="165" fontId="8" fillId="0" borderId="6" xfId="0" applyNumberFormat="1" applyFont="1" applyFill="1" applyBorder="1" applyAlignment="1">
      <alignment horizontal="center" vertical="center" wrapText="1"/>
    </xf>
    <xf numFmtId="0" fontId="5" fillId="0" borderId="0" xfId="0" applyFont="1" applyAlignment="1">
      <alignment horizontal="center" vertical="center" wrapText="1"/>
    </xf>
    <xf numFmtId="165" fontId="8" fillId="2" borderId="6" xfId="0" applyNumberFormat="1" applyFont="1" applyFill="1" applyBorder="1" applyAlignment="1">
      <alignment horizontal="right" vertical="center" shrinkToFit="1"/>
    </xf>
    <xf numFmtId="165" fontId="8" fillId="2" borderId="9" xfId="0" applyNumberFormat="1" applyFont="1" applyFill="1" applyBorder="1" applyAlignment="1">
      <alignment horizontal="right" vertical="center" shrinkToFit="1"/>
    </xf>
    <xf numFmtId="165" fontId="8" fillId="4" borderId="6" xfId="0" applyNumberFormat="1" applyFont="1" applyFill="1" applyBorder="1" applyAlignment="1">
      <alignment horizontal="right" vertical="center" shrinkToFit="1"/>
    </xf>
    <xf numFmtId="165" fontId="4" fillId="5" borderId="6" xfId="0" applyNumberFormat="1" applyFont="1" applyFill="1" applyBorder="1" applyAlignment="1">
      <alignment horizontal="right" vertical="center" shrinkToFit="1"/>
    </xf>
    <xf numFmtId="165" fontId="13" fillId="6" borderId="6" xfId="0" applyNumberFormat="1" applyFont="1" applyFill="1" applyBorder="1" applyAlignment="1">
      <alignment horizontal="right" vertical="center" shrinkToFit="1"/>
    </xf>
    <xf numFmtId="165" fontId="2" fillId="5" borderId="6" xfId="0" applyNumberFormat="1" applyFont="1" applyFill="1" applyBorder="1" applyAlignment="1">
      <alignment horizontal="right" vertical="center" shrinkToFit="1"/>
    </xf>
    <xf numFmtId="165" fontId="2" fillId="4" borderId="6" xfId="0" applyNumberFormat="1" applyFont="1" applyFill="1" applyBorder="1" applyAlignment="1">
      <alignment horizontal="right" vertical="center" shrinkToFit="1"/>
    </xf>
    <xf numFmtId="165" fontId="2" fillId="2" borderId="6" xfId="0" applyNumberFormat="1" applyFont="1" applyFill="1" applyBorder="1" applyAlignment="1">
      <alignment horizontal="right" vertical="center" shrinkToFit="1"/>
    </xf>
    <xf numFmtId="165" fontId="15" fillId="2" borderId="6" xfId="0" applyNumberFormat="1" applyFont="1" applyFill="1" applyBorder="1" applyAlignment="1">
      <alignment horizontal="right" vertical="center" shrinkToFit="1"/>
    </xf>
    <xf numFmtId="165" fontId="8" fillId="8" borderId="6" xfId="0" applyNumberFormat="1" applyFont="1" applyFill="1" applyBorder="1" applyAlignment="1">
      <alignment horizontal="right" vertical="center" shrinkToFit="1"/>
    </xf>
    <xf numFmtId="165" fontId="8" fillId="9" borderId="6" xfId="0" applyNumberFormat="1" applyFont="1" applyFill="1" applyBorder="1" applyAlignment="1">
      <alignment horizontal="right" vertical="center" shrinkToFit="1"/>
    </xf>
    <xf numFmtId="165" fontId="13" fillId="2" borderId="6" xfId="0" applyNumberFormat="1" applyFont="1" applyFill="1" applyBorder="1" applyAlignment="1">
      <alignment horizontal="right" vertical="center" shrinkToFit="1"/>
    </xf>
    <xf numFmtId="165" fontId="4" fillId="4" borderId="6" xfId="0" applyNumberFormat="1" applyFont="1" applyFill="1" applyBorder="1" applyAlignment="1">
      <alignment horizontal="right" vertical="center" shrinkToFit="1"/>
    </xf>
    <xf numFmtId="165" fontId="23" fillId="2" borderId="6" xfId="0" applyNumberFormat="1" applyFont="1" applyFill="1" applyBorder="1" applyAlignment="1">
      <alignment horizontal="right" vertical="center" shrinkToFit="1"/>
    </xf>
    <xf numFmtId="165" fontId="2" fillId="2" borderId="6" xfId="0" applyNumberFormat="1" applyFont="1" applyFill="1" applyBorder="1" applyAlignment="1">
      <alignment vertical="center" shrinkToFit="1"/>
    </xf>
    <xf numFmtId="165" fontId="0" fillId="2" borderId="6" xfId="0" applyNumberFormat="1" applyFont="1" applyFill="1" applyBorder="1" applyAlignment="1">
      <alignment vertical="center" shrinkToFit="1"/>
    </xf>
    <xf numFmtId="165" fontId="13" fillId="5" borderId="6" xfId="0" applyNumberFormat="1" applyFont="1" applyFill="1" applyBorder="1" applyAlignment="1">
      <alignment horizontal="right" vertical="center" shrinkToFit="1"/>
    </xf>
    <xf numFmtId="165" fontId="2" fillId="3" borderId="6" xfId="0" applyNumberFormat="1" applyFont="1" applyFill="1" applyBorder="1" applyAlignment="1">
      <alignment horizontal="right" vertical="center" shrinkToFit="1"/>
    </xf>
    <xf numFmtId="165" fontId="17" fillId="0" borderId="6" xfId="0" applyNumberFormat="1" applyFont="1" applyFill="1" applyBorder="1" applyAlignment="1">
      <alignment horizontal="right" vertical="center" shrinkToFit="1"/>
    </xf>
    <xf numFmtId="0" fontId="3" fillId="0" borderId="0" xfId="0" applyFont="1" applyAlignment="1">
      <alignment horizontal="center" vertical="center" wrapText="1"/>
    </xf>
    <xf numFmtId="166" fontId="8" fillId="0" borderId="6" xfId="0" applyNumberFormat="1" applyFont="1" applyFill="1" applyBorder="1" applyAlignment="1">
      <alignment vertical="center" wrapText="1"/>
    </xf>
    <xf numFmtId="0" fontId="3" fillId="6" borderId="6" xfId="0" applyFont="1" applyFill="1" applyBorder="1" applyAlignment="1">
      <alignment horizontal="center" vertical="center" wrapText="1"/>
    </xf>
    <xf numFmtId="0" fontId="3" fillId="6" borderId="6" xfId="0" applyFont="1" applyFill="1" applyBorder="1" applyAlignment="1">
      <alignment vertical="center" wrapText="1"/>
    </xf>
    <xf numFmtId="0" fontId="3" fillId="0" borderId="6" xfId="0" applyFont="1" applyBorder="1" applyAlignment="1">
      <alignment vertical="center" wrapText="1"/>
    </xf>
    <xf numFmtId="0" fontId="3" fillId="0" borderId="10" xfId="0" applyFont="1" applyBorder="1" applyAlignment="1">
      <alignment vertical="center" wrapText="1"/>
    </xf>
    <xf numFmtId="0" fontId="1" fillId="6" borderId="6" xfId="0" applyFont="1" applyFill="1" applyBorder="1" applyAlignment="1">
      <alignment vertical="center" wrapText="1"/>
    </xf>
    <xf numFmtId="0" fontId="1" fillId="0" borderId="6" xfId="0" applyFont="1" applyBorder="1" applyAlignment="1">
      <alignment vertical="center" wrapText="1"/>
    </xf>
    <xf numFmtId="0" fontId="1" fillId="0" borderId="10" xfId="0" applyFont="1" applyBorder="1" applyAlignment="1">
      <alignment vertical="center" wrapText="1"/>
    </xf>
    <xf numFmtId="166" fontId="1" fillId="6" borderId="6" xfId="0" applyNumberFormat="1" applyFont="1" applyFill="1" applyBorder="1" applyAlignment="1">
      <alignment vertical="center" wrapText="1"/>
    </xf>
    <xf numFmtId="0" fontId="1" fillId="6" borderId="0" xfId="0" applyFont="1" applyFill="1" applyAlignment="1">
      <alignment vertical="center" wrapText="1"/>
    </xf>
    <xf numFmtId="166" fontId="1" fillId="6" borderId="0" xfId="0" applyNumberFormat="1" applyFont="1" applyFill="1" applyAlignment="1">
      <alignment vertical="center" wrapText="1"/>
    </xf>
    <xf numFmtId="166" fontId="3" fillId="6" borderId="21" xfId="0" applyNumberFormat="1" applyFont="1" applyFill="1" applyBorder="1" applyAlignment="1">
      <alignment vertical="center" wrapText="1"/>
    </xf>
    <xf numFmtId="0" fontId="3" fillId="0" borderId="0" xfId="0" applyFont="1" applyAlignment="1">
      <alignment horizontal="center" vertical="center" wrapText="1"/>
    </xf>
    <xf numFmtId="0" fontId="30" fillId="0" borderId="0" xfId="0" applyFont="1" applyAlignment="1">
      <alignment vertical="center" wrapText="1"/>
    </xf>
    <xf numFmtId="0" fontId="31" fillId="0" borderId="0" xfId="0" applyFont="1" applyAlignment="1">
      <alignment horizontal="center" vertical="center" wrapText="1"/>
    </xf>
    <xf numFmtId="166" fontId="30" fillId="0" borderId="0" xfId="0" applyNumberFormat="1" applyFont="1" applyAlignment="1">
      <alignment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vertical="center" wrapText="1"/>
    </xf>
    <xf numFmtId="166" fontId="30" fillId="0" borderId="6" xfId="0" applyNumberFormat="1" applyFont="1" applyBorder="1" applyAlignment="1">
      <alignment vertical="center" wrapText="1"/>
    </xf>
    <xf numFmtId="166" fontId="30" fillId="0" borderId="10" xfId="0" applyNumberFormat="1" applyFont="1" applyBorder="1" applyAlignment="1">
      <alignment vertical="center" wrapText="1"/>
    </xf>
    <xf numFmtId="166" fontId="31" fillId="0" borderId="20" xfId="0" applyNumberFormat="1" applyFont="1" applyBorder="1" applyAlignment="1">
      <alignment vertical="center" wrapText="1"/>
    </xf>
    <xf numFmtId="166" fontId="31" fillId="0" borderId="21" xfId="0" applyNumberFormat="1" applyFont="1" applyBorder="1" applyAlignment="1">
      <alignment vertical="center" wrapText="1"/>
    </xf>
    <xf numFmtId="0" fontId="31" fillId="0" borderId="0" xfId="0" applyNumberFormat="1" applyFont="1" applyAlignment="1">
      <alignment vertical="center" wrapText="1"/>
    </xf>
    <xf numFmtId="166" fontId="31" fillId="0" borderId="0" xfId="0" applyNumberFormat="1" applyFont="1" applyAlignment="1">
      <alignment vertical="center" wrapText="1"/>
    </xf>
    <xf numFmtId="166" fontId="31" fillId="0" borderId="5" xfId="0" applyNumberFormat="1" applyFont="1" applyBorder="1" applyAlignment="1">
      <alignment vertical="center" wrapText="1"/>
    </xf>
    <xf numFmtId="0" fontId="31" fillId="0" borderId="6" xfId="0" applyFont="1" applyBorder="1" applyAlignment="1">
      <alignment vertical="center" wrapText="1"/>
    </xf>
    <xf numFmtId="166" fontId="31" fillId="0" borderId="6" xfId="0" applyNumberFormat="1" applyFont="1" applyBorder="1" applyAlignment="1">
      <alignment vertical="center" wrapText="1"/>
    </xf>
    <xf numFmtId="166" fontId="31" fillId="0" borderId="10" xfId="0" applyNumberFormat="1" applyFont="1" applyBorder="1" applyAlignment="1">
      <alignment vertical="center" wrapText="1"/>
    </xf>
    <xf numFmtId="166" fontId="30" fillId="0" borderId="5" xfId="0" applyNumberFormat="1" applyFont="1" applyBorder="1" applyAlignment="1">
      <alignment vertical="center" wrapText="1"/>
    </xf>
    <xf numFmtId="166" fontId="30" fillId="0" borderId="19" xfId="0" applyNumberFormat="1" applyFont="1" applyBorder="1" applyAlignment="1">
      <alignment vertical="center" wrapText="1"/>
    </xf>
    <xf numFmtId="0" fontId="30" fillId="0" borderId="20" xfId="0" applyFont="1" applyBorder="1" applyAlignment="1">
      <alignment vertical="center" wrapText="1"/>
    </xf>
    <xf numFmtId="166" fontId="30" fillId="0" borderId="0" xfId="0" applyNumberFormat="1" applyFont="1" applyBorder="1" applyAlignment="1">
      <alignment vertical="center" wrapText="1"/>
    </xf>
    <xf numFmtId="0" fontId="30" fillId="0" borderId="0" xfId="0" applyFont="1" applyBorder="1" applyAlignment="1">
      <alignment vertical="center" wrapText="1"/>
    </xf>
    <xf numFmtId="0" fontId="31" fillId="0" borderId="0" xfId="0" applyFont="1" applyBorder="1" applyAlignment="1">
      <alignment vertical="center" wrapText="1"/>
    </xf>
    <xf numFmtId="166" fontId="31" fillId="0" borderId="0" xfId="0" applyNumberFormat="1" applyFont="1" applyBorder="1" applyAlignment="1">
      <alignment vertical="center" wrapText="1"/>
    </xf>
    <xf numFmtId="0" fontId="30" fillId="0" borderId="0" xfId="0" applyNumberFormat="1" applyFont="1" applyAlignment="1">
      <alignment horizontal="center" vertical="center" wrapText="1"/>
    </xf>
    <xf numFmtId="0" fontId="32" fillId="0" borderId="0" xfId="0" applyFont="1" applyAlignment="1">
      <alignment vertical="center" wrapText="1"/>
    </xf>
    <xf numFmtId="0" fontId="31" fillId="0" borderId="5" xfId="0" applyNumberFormat="1" applyFont="1" applyBorder="1" applyAlignment="1">
      <alignment horizontal="center" vertical="center" wrapText="1"/>
    </xf>
    <xf numFmtId="0" fontId="31" fillId="0" borderId="6"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30" fillId="0" borderId="6" xfId="0" applyNumberFormat="1" applyFont="1" applyBorder="1" applyAlignment="1">
      <alignment horizontal="center" vertical="center" wrapText="1"/>
    </xf>
    <xf numFmtId="0" fontId="3" fillId="0" borderId="0" xfId="0" applyFont="1" applyAlignment="1">
      <alignment horizontal="center" vertical="center" wrapText="1"/>
    </xf>
    <xf numFmtId="165" fontId="3" fillId="7" borderId="0" xfId="0" applyNumberFormat="1" applyFont="1" applyFill="1" applyAlignment="1">
      <alignment vertical="center" shrinkToFit="1"/>
    </xf>
    <xf numFmtId="166" fontId="0" fillId="0" borderId="6" xfId="0" applyNumberFormat="1" applyFont="1" applyFill="1" applyBorder="1" applyAlignment="1">
      <alignment vertical="top" wrapText="1"/>
    </xf>
    <xf numFmtId="0" fontId="3" fillId="0" borderId="6" xfId="0" applyFont="1" applyBorder="1" applyAlignment="1">
      <alignment horizontal="center" vertical="center" wrapText="1"/>
    </xf>
    <xf numFmtId="0" fontId="0" fillId="0" borderId="5" xfId="0" applyBorder="1" applyAlignment="1">
      <alignment vertical="center" wrapText="1"/>
    </xf>
    <xf numFmtId="166" fontId="0" fillId="0" borderId="10" xfId="0" applyNumberFormat="1" applyBorder="1" applyAlignment="1">
      <alignment vertical="center" wrapText="1"/>
    </xf>
    <xf numFmtId="0" fontId="3" fillId="0" borderId="0" xfId="0" applyFont="1" applyAlignment="1">
      <alignment horizontal="center" vertical="center" wrapText="1"/>
    </xf>
    <xf numFmtId="166" fontId="3" fillId="0" borderId="10" xfId="0" applyNumberFormat="1" applyFont="1" applyBorder="1" applyAlignment="1">
      <alignment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0" fontId="30" fillId="0" borderId="5" xfId="0" applyNumberFormat="1" applyFont="1" applyBorder="1" applyAlignment="1">
      <alignment vertical="center" wrapText="1"/>
    </xf>
    <xf numFmtId="0" fontId="30" fillId="0" borderId="6" xfId="0" applyNumberFormat="1" applyFont="1" applyBorder="1" applyAlignment="1">
      <alignment vertical="center" wrapText="1"/>
    </xf>
    <xf numFmtId="166" fontId="31" fillId="0" borderId="19" xfId="0" applyNumberFormat="1" applyFont="1" applyBorder="1" applyAlignment="1">
      <alignment vertical="center" wrapText="1"/>
    </xf>
    <xf numFmtId="173" fontId="31" fillId="0" borderId="20" xfId="0" applyNumberFormat="1" applyFont="1" applyBorder="1" applyAlignment="1">
      <alignment horizontal="left" vertical="center" wrapText="1"/>
    </xf>
    <xf numFmtId="0" fontId="3" fillId="0" borderId="0" xfId="0" applyFont="1" applyAlignment="1">
      <alignment horizontal="center" vertical="center" wrapText="1"/>
    </xf>
    <xf numFmtId="166" fontId="4" fillId="0" borderId="20" xfId="0" applyNumberFormat="1" applyFont="1" applyBorder="1" applyAlignment="1">
      <alignment horizontal="center" vertical="center" wrapText="1"/>
    </xf>
    <xf numFmtId="166" fontId="4" fillId="0" borderId="21" xfId="0" applyNumberFormat="1" applyFont="1" applyBorder="1" applyAlignment="1">
      <alignment horizontal="center" vertical="center" wrapText="1"/>
    </xf>
    <xf numFmtId="0" fontId="4" fillId="7" borderId="5" xfId="0" applyFont="1" applyFill="1" applyBorder="1" applyAlignment="1">
      <alignment horizontal="left" vertical="center" wrapText="1"/>
    </xf>
    <xf numFmtId="0" fontId="31" fillId="0" borderId="3" xfId="0" applyNumberFormat="1"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6" xfId="0" applyFont="1" applyBorder="1" applyAlignment="1">
      <alignment horizontal="left" vertical="center" wrapText="1"/>
    </xf>
    <xf numFmtId="166" fontId="30" fillId="0" borderId="13" xfId="0" applyNumberFormat="1" applyFont="1" applyBorder="1" applyAlignment="1">
      <alignment vertical="center" wrapText="1"/>
    </xf>
    <xf numFmtId="166" fontId="30" fillId="0" borderId="11" xfId="0" applyNumberFormat="1" applyFont="1" applyBorder="1" applyAlignment="1">
      <alignment vertical="center" wrapText="1"/>
    </xf>
    <xf numFmtId="166" fontId="30" fillId="0" borderId="20" xfId="0" applyNumberFormat="1" applyFont="1" applyBorder="1" applyAlignment="1">
      <alignment vertical="center" wrapText="1"/>
    </xf>
    <xf numFmtId="166" fontId="30" fillId="0" borderId="21" xfId="0" applyNumberFormat="1" applyFont="1" applyBorder="1" applyAlignment="1">
      <alignment vertical="center" wrapText="1"/>
    </xf>
    <xf numFmtId="166" fontId="32" fillId="0" borderId="0" xfId="0" applyNumberFormat="1" applyFont="1" applyAlignment="1">
      <alignment vertical="center" wrapText="1"/>
    </xf>
    <xf numFmtId="166" fontId="4" fillId="0" borderId="10" xfId="0" applyNumberFormat="1" applyFont="1" applyBorder="1" applyAlignment="1">
      <alignment vertical="center" shrinkToFit="1"/>
    </xf>
    <xf numFmtId="166" fontId="3" fillId="7" borderId="6" xfId="0" applyNumberFormat="1" applyFont="1" applyFill="1" applyBorder="1" applyAlignment="1">
      <alignment vertical="center" shrinkToFit="1"/>
    </xf>
    <xf numFmtId="166" fontId="3" fillId="0" borderId="7" xfId="0" applyNumberFormat="1" applyFont="1" applyBorder="1" applyAlignment="1">
      <alignment vertical="center" wrapText="1"/>
    </xf>
    <xf numFmtId="166" fontId="1" fillId="0" borderId="10" xfId="0" applyNumberFormat="1" applyFont="1" applyBorder="1" applyAlignment="1">
      <alignment vertical="center" shrinkToFit="1"/>
    </xf>
    <xf numFmtId="166" fontId="3" fillId="7" borderId="21" xfId="0" applyNumberFormat="1" applyFont="1" applyFill="1" applyBorder="1" applyAlignment="1">
      <alignment vertical="center" shrinkToFit="1"/>
    </xf>
    <xf numFmtId="0" fontId="31" fillId="0" borderId="0" xfId="0" applyFont="1" applyBorder="1" applyAlignment="1">
      <alignment horizontal="center" vertical="center" wrapText="1"/>
    </xf>
    <xf numFmtId="14" fontId="0" fillId="0" borderId="0" xfId="0" applyNumberFormat="1" applyFont="1" applyAlignment="1">
      <alignment vertical="center" wrapText="1"/>
    </xf>
    <xf numFmtId="165" fontId="8" fillId="0" borderId="0" xfId="0" applyNumberFormat="1" applyFont="1" applyAlignment="1">
      <alignment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166" fontId="8" fillId="2" borderId="11" xfId="0" applyNumberFormat="1" applyFont="1" applyFill="1" applyBorder="1" applyAlignment="1">
      <alignment vertical="center" shrinkToFit="1"/>
    </xf>
    <xf numFmtId="166" fontId="8" fillId="0" borderId="0" xfId="0" applyNumberFormat="1" applyFont="1" applyFill="1" applyBorder="1" applyAlignment="1">
      <alignment vertical="center" shrinkToFit="1"/>
    </xf>
    <xf numFmtId="0" fontId="2" fillId="0" borderId="5" xfId="0" applyFont="1" applyFill="1" applyBorder="1" applyAlignment="1">
      <alignment horizontal="left" vertical="center" wrapText="1"/>
    </xf>
    <xf numFmtId="0" fontId="8" fillId="0" borderId="5" xfId="0" applyFont="1" applyFill="1" applyBorder="1" applyAlignment="1">
      <alignment horizontal="center" vertical="center" wrapText="1"/>
    </xf>
    <xf numFmtId="166" fontId="8" fillId="0" borderId="10" xfId="0" applyNumberFormat="1" applyFont="1" applyBorder="1" applyAlignment="1">
      <alignment vertical="center" shrinkToFit="1"/>
    </xf>
    <xf numFmtId="166" fontId="4" fillId="0" borderId="20" xfId="0" applyNumberFormat="1" applyFont="1" applyFill="1" applyBorder="1" applyAlignment="1">
      <alignment vertical="center" wrapText="1"/>
    </xf>
    <xf numFmtId="166" fontId="15" fillId="7" borderId="0" xfId="0" applyNumberFormat="1" applyFont="1" applyFill="1" applyBorder="1" applyAlignment="1">
      <alignment horizontal="center" vertical="center" wrapText="1"/>
    </xf>
    <xf numFmtId="0" fontId="31" fillId="0" borderId="20" xfId="0" applyFont="1" applyBorder="1" applyAlignment="1">
      <alignment vertical="center" wrapText="1"/>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3" xfId="0" applyFont="1" applyBorder="1" applyAlignment="1">
      <alignment horizontal="center" vertical="center" wrapText="1"/>
    </xf>
    <xf numFmtId="0" fontId="30" fillId="0" borderId="5" xfId="0" applyFont="1" applyBorder="1" applyAlignment="1">
      <alignment vertical="center" wrapText="1"/>
    </xf>
    <xf numFmtId="0" fontId="3" fillId="0" borderId="0" xfId="0" applyFont="1" applyAlignment="1">
      <alignment horizontal="center" vertical="center" wrapText="1"/>
    </xf>
    <xf numFmtId="165" fontId="8" fillId="0" borderId="0" xfId="0" applyNumberFormat="1" applyFont="1" applyAlignment="1">
      <alignment vertical="center" wrapText="1"/>
    </xf>
    <xf numFmtId="166" fontId="4" fillId="7" borderId="6" xfId="0" applyNumberFormat="1" applyFont="1" applyFill="1" applyBorder="1" applyAlignment="1">
      <alignment vertical="center" wrapText="1"/>
    </xf>
    <xf numFmtId="165" fontId="4" fillId="7" borderId="0" xfId="0" applyNumberFormat="1" applyFont="1" applyFill="1" applyAlignment="1">
      <alignment vertical="center" wrapText="1"/>
    </xf>
    <xf numFmtId="166" fontId="4" fillId="7" borderId="10" xfId="0" applyNumberFormat="1" applyFont="1" applyFill="1" applyBorder="1" applyAlignment="1">
      <alignment vertical="center" wrapText="1"/>
    </xf>
    <xf numFmtId="0" fontId="13" fillId="7" borderId="5" xfId="0" applyFont="1" applyFill="1" applyBorder="1" applyAlignment="1">
      <alignment horizontal="left" vertical="center" wrapText="1"/>
    </xf>
    <xf numFmtId="166" fontId="13" fillId="7" borderId="6" xfId="0" applyNumberFormat="1" applyFont="1" applyFill="1" applyBorder="1" applyAlignment="1">
      <alignment vertical="center" wrapText="1"/>
    </xf>
    <xf numFmtId="166" fontId="13" fillId="7" borderId="10" xfId="0" applyNumberFormat="1" applyFont="1" applyFill="1" applyBorder="1" applyAlignment="1">
      <alignment vertical="center" wrapText="1"/>
    </xf>
    <xf numFmtId="165" fontId="13" fillId="7" borderId="0" xfId="0" applyNumberFormat="1" applyFont="1" applyFill="1" applyAlignment="1">
      <alignment vertical="center" wrapText="1"/>
    </xf>
    <xf numFmtId="166" fontId="14" fillId="0" borderId="10" xfId="0" applyNumberFormat="1" applyFont="1" applyBorder="1" applyAlignment="1">
      <alignment vertical="center" wrapText="1"/>
    </xf>
    <xf numFmtId="0" fontId="3" fillId="0" borderId="0" xfId="0" applyFont="1" applyAlignment="1">
      <alignment horizontal="center" vertical="center" wrapText="1"/>
    </xf>
    <xf numFmtId="0" fontId="30" fillId="0" borderId="15" xfId="0" applyFont="1" applyBorder="1" applyAlignment="1">
      <alignment vertical="center" wrapText="1"/>
    </xf>
    <xf numFmtId="0" fontId="30" fillId="0" borderId="12" xfId="0" applyFont="1" applyBorder="1" applyAlignment="1">
      <alignment vertical="center" wrapText="1"/>
    </xf>
    <xf numFmtId="166" fontId="30" fillId="0" borderId="12" xfId="0" applyNumberFormat="1" applyFont="1" applyBorder="1" applyAlignment="1">
      <alignment vertical="center" wrapText="1"/>
    </xf>
    <xf numFmtId="166" fontId="33" fillId="0" borderId="0" xfId="0" applyNumberFormat="1" applyFont="1" applyAlignment="1">
      <alignment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wrapText="1"/>
    </xf>
    <xf numFmtId="166" fontId="15" fillId="0" borderId="0" xfId="0" applyNumberFormat="1" applyFont="1" applyFill="1" applyBorder="1" applyAlignment="1">
      <alignment vertical="center" shrinkToFit="1"/>
    </xf>
    <xf numFmtId="166" fontId="1" fillId="6" borderId="10" xfId="0" applyNumberFormat="1" applyFont="1" applyFill="1" applyBorder="1" applyAlignment="1">
      <alignment vertical="center" wrapText="1"/>
    </xf>
    <xf numFmtId="166" fontId="15" fillId="6" borderId="0" xfId="0" applyNumberFormat="1" applyFont="1" applyFill="1" applyBorder="1" applyAlignment="1">
      <alignment vertical="center" wrapText="1"/>
    </xf>
    <xf numFmtId="166" fontId="0" fillId="0" borderId="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166" fontId="31" fillId="0" borderId="0" xfId="0" applyNumberFormat="1" applyFont="1" applyAlignment="1">
      <alignment horizontal="center" vertical="center" wrapText="1"/>
    </xf>
    <xf numFmtId="166" fontId="30" fillId="0" borderId="0" xfId="0" applyNumberFormat="1" applyFont="1" applyAlignment="1">
      <alignment horizontal="center" vertical="center" wrapText="1"/>
    </xf>
    <xf numFmtId="166" fontId="30" fillId="0" borderId="16" xfId="0" applyNumberFormat="1" applyFont="1" applyBorder="1" applyAlignment="1">
      <alignment vertical="center" wrapText="1"/>
    </xf>
    <xf numFmtId="0" fontId="3" fillId="0" borderId="0" xfId="0" applyFont="1" applyAlignment="1">
      <alignment horizontal="center" vertical="center" wrapText="1"/>
    </xf>
    <xf numFmtId="0" fontId="3" fillId="7" borderId="0" xfId="0" applyFont="1" applyFill="1" applyAlignment="1">
      <alignment vertical="center" wrapText="1"/>
    </xf>
    <xf numFmtId="0" fontId="0" fillId="0" borderId="0" xfId="0" applyFont="1" applyAlignment="1">
      <alignment horizontal="center" vertical="center" wrapText="1"/>
    </xf>
    <xf numFmtId="174" fontId="3" fillId="0" borderId="0" xfId="0" applyNumberFormat="1" applyFont="1" applyAlignment="1">
      <alignment horizontal="center" vertical="center" wrapText="1"/>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 xfId="0"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19" fillId="0" borderId="0" xfId="0" applyFont="1" applyAlignment="1">
      <alignment horizontal="center" vertical="center"/>
    </xf>
    <xf numFmtId="0" fontId="1" fillId="0" borderId="5" xfId="0" applyFont="1" applyFill="1" applyBorder="1" applyAlignment="1">
      <alignment vertical="center"/>
    </xf>
    <xf numFmtId="0" fontId="3" fillId="5" borderId="19" xfId="0" applyFont="1" applyFill="1" applyBorder="1" applyAlignment="1">
      <alignment vertical="center"/>
    </xf>
    <xf numFmtId="49" fontId="10" fillId="0" borderId="6" xfId="0" applyNumberFormat="1" applyFont="1" applyFill="1" applyBorder="1" applyAlignment="1">
      <alignment horizontal="center" vertical="center" wrapText="1"/>
    </xf>
    <xf numFmtId="166" fontId="14" fillId="0" borderId="6" xfId="0" applyNumberFormat="1" applyFont="1" applyBorder="1" applyAlignment="1">
      <alignment horizontal="center" vertical="center" wrapText="1"/>
    </xf>
    <xf numFmtId="166" fontId="14" fillId="0" borderId="10" xfId="0" applyNumberFormat="1" applyFont="1" applyBorder="1" applyAlignment="1">
      <alignment horizontal="center" vertical="center" wrapText="1"/>
    </xf>
    <xf numFmtId="166" fontId="0" fillId="0" borderId="10" xfId="0" applyNumberFormat="1" applyFont="1" applyBorder="1" applyAlignment="1">
      <alignment vertical="center" shrinkToFit="1"/>
    </xf>
    <xf numFmtId="166" fontId="0" fillId="0" borderId="6" xfId="0" applyNumberFormat="1" applyFont="1" applyBorder="1" applyAlignment="1">
      <alignment horizontal="center" vertical="center" shrinkToFit="1"/>
    </xf>
    <xf numFmtId="165" fontId="8" fillId="0" borderId="0" xfId="0" applyNumberFormat="1" applyFont="1" applyAlignment="1">
      <alignment vertical="center" wrapText="1"/>
    </xf>
    <xf numFmtId="0" fontId="3" fillId="0" borderId="0" xfId="0" applyFont="1" applyAlignment="1">
      <alignment horizontal="center" vertical="center" wrapText="1"/>
    </xf>
    <xf numFmtId="165" fontId="8" fillId="10" borderId="6" xfId="0" applyNumberFormat="1" applyFont="1" applyFill="1" applyBorder="1" applyAlignment="1">
      <alignment vertical="center" shrinkToFit="1"/>
    </xf>
    <xf numFmtId="166" fontId="8" fillId="0" borderId="6" xfId="0" applyNumberFormat="1" applyFont="1" applyFill="1" applyBorder="1" applyAlignment="1">
      <alignment vertical="center" shrinkToFi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166" fontId="0" fillId="8" borderId="0" xfId="0" applyNumberFormat="1" applyFont="1" applyFill="1" applyAlignment="1">
      <alignment vertical="center" wrapText="1"/>
    </xf>
    <xf numFmtId="0" fontId="1" fillId="0" borderId="0" xfId="13"/>
    <xf numFmtId="171" fontId="1" fillId="0" borderId="0" xfId="13" applyNumberFormat="1"/>
    <xf numFmtId="171" fontId="8" fillId="0" borderId="6" xfId="14" applyNumberFormat="1" applyFont="1" applyFill="1" applyBorder="1" applyAlignment="1">
      <alignment horizontal="center" vertical="center" wrapText="1"/>
    </xf>
    <xf numFmtId="171" fontId="3" fillId="0" borderId="6" xfId="14" applyNumberFormat="1" applyFont="1" applyBorder="1" applyAlignment="1">
      <alignment horizontal="center" vertical="center" wrapText="1"/>
    </xf>
    <xf numFmtId="171" fontId="3" fillId="0" borderId="10" xfId="14" applyNumberFormat="1" applyFont="1" applyBorder="1" applyAlignment="1">
      <alignment horizontal="center" vertical="center" wrapText="1"/>
    </xf>
    <xf numFmtId="49" fontId="1" fillId="12" borderId="6" xfId="13" applyNumberFormat="1" applyFont="1" applyFill="1" applyBorder="1" applyAlignment="1">
      <alignment horizontal="center" vertical="center" wrapText="1" shrinkToFit="1"/>
    </xf>
    <xf numFmtId="175" fontId="20" fillId="14" borderId="5" xfId="15" applyNumberFormat="1" applyFont="1" applyFill="1" applyBorder="1" applyAlignment="1">
      <alignment horizontal="left" wrapText="1"/>
    </xf>
    <xf numFmtId="171" fontId="20" fillId="14" borderId="6" xfId="13" applyNumberFormat="1" applyFont="1" applyFill="1" applyBorder="1" applyAlignment="1">
      <alignment horizontal="right" vertical="center" wrapText="1" shrinkToFit="1"/>
    </xf>
    <xf numFmtId="49" fontId="20" fillId="14" borderId="6" xfId="13" applyNumberFormat="1" applyFont="1" applyFill="1" applyBorder="1" applyAlignment="1">
      <alignment horizontal="center" vertical="center" wrapText="1" shrinkToFit="1"/>
    </xf>
    <xf numFmtId="171" fontId="20" fillId="14" borderId="10" xfId="13" applyNumberFormat="1" applyFont="1" applyFill="1" applyBorder="1" applyAlignment="1">
      <alignment horizontal="right" vertical="center" wrapText="1" shrinkToFit="1"/>
    </xf>
    <xf numFmtId="0" fontId="1" fillId="0" borderId="0" xfId="13" applyFill="1"/>
    <xf numFmtId="0" fontId="27" fillId="0" borderId="5" xfId="16" applyFont="1" applyBorder="1" applyAlignment="1">
      <alignment horizontal="left" wrapText="1"/>
    </xf>
    <xf numFmtId="171" fontId="27" fillId="0" borderId="6" xfId="13" applyNumberFormat="1" applyFont="1" applyBorder="1" applyAlignment="1">
      <alignment horizontal="right"/>
    </xf>
    <xf numFmtId="4" fontId="27" fillId="0" borderId="6" xfId="13" applyNumberFormat="1" applyFont="1" applyBorder="1" applyAlignment="1">
      <alignment horizontal="center"/>
    </xf>
    <xf numFmtId="49" fontId="27" fillId="0" borderId="6" xfId="13" applyNumberFormat="1" applyFont="1" applyBorder="1" applyAlignment="1">
      <alignment horizontal="left" wrapText="1" shrinkToFit="1"/>
    </xf>
    <xf numFmtId="171" fontId="27" fillId="0" borderId="10" xfId="13" applyNumberFormat="1" applyFont="1" applyBorder="1" applyAlignment="1">
      <alignment horizontal="right"/>
    </xf>
    <xf numFmtId="49" fontId="3" fillId="7" borderId="6" xfId="13" applyNumberFormat="1" applyFont="1" applyFill="1" applyBorder="1" applyAlignment="1">
      <alignment wrapText="1" shrinkToFit="1"/>
    </xf>
    <xf numFmtId="49" fontId="3" fillId="7" borderId="7" xfId="13" applyNumberFormat="1" applyFont="1" applyFill="1" applyBorder="1" applyAlignment="1">
      <alignment wrapText="1" shrinkToFit="1"/>
    </xf>
    <xf numFmtId="0" fontId="20" fillId="7" borderId="5" xfId="16" applyFont="1" applyFill="1" applyBorder="1" applyAlignment="1">
      <alignment horizontal="left" wrapText="1"/>
    </xf>
    <xf numFmtId="171" fontId="20" fillId="7" borderId="6" xfId="13" applyNumberFormat="1" applyFont="1" applyFill="1" applyBorder="1" applyAlignment="1">
      <alignment horizontal="right"/>
    </xf>
    <xf numFmtId="4" fontId="20" fillId="7" borderId="6" xfId="13" applyNumberFormat="1" applyFont="1" applyFill="1" applyBorder="1" applyAlignment="1">
      <alignment horizontal="center"/>
    </xf>
    <xf numFmtId="49" fontId="20" fillId="7" borderId="6" xfId="13" applyNumberFormat="1" applyFont="1" applyFill="1" applyBorder="1" applyAlignment="1">
      <alignment horizontal="center" wrapText="1" shrinkToFit="1"/>
    </xf>
    <xf numFmtId="171" fontId="20" fillId="7" borderId="10" xfId="13" applyNumberFormat="1" applyFont="1" applyFill="1" applyBorder="1" applyAlignment="1">
      <alignment horizontal="right"/>
    </xf>
    <xf numFmtId="49" fontId="3" fillId="0" borderId="6" xfId="13" applyNumberFormat="1" applyFont="1" applyBorder="1" applyAlignment="1">
      <alignment wrapText="1" shrinkToFit="1"/>
    </xf>
    <xf numFmtId="49" fontId="3" fillId="0" borderId="7" xfId="13" applyNumberFormat="1" applyFont="1" applyBorder="1" applyAlignment="1">
      <alignment wrapText="1" shrinkToFit="1"/>
    </xf>
    <xf numFmtId="0" fontId="20" fillId="0" borderId="5" xfId="16" applyFont="1" applyBorder="1" applyAlignment="1">
      <alignment horizontal="left" wrapText="1"/>
    </xf>
    <xf numFmtId="171" fontId="20" fillId="0" borderId="6" xfId="13" applyNumberFormat="1" applyFont="1" applyBorder="1" applyAlignment="1">
      <alignment horizontal="right"/>
    </xf>
    <xf numFmtId="4" fontId="20" fillId="0" borderId="6" xfId="13" applyNumberFormat="1" applyFont="1" applyBorder="1" applyAlignment="1">
      <alignment horizontal="center"/>
    </xf>
    <xf numFmtId="49" fontId="20" fillId="0" borderId="6" xfId="13" applyNumberFormat="1" applyFont="1" applyBorder="1" applyAlignment="1">
      <alignment horizontal="center" wrapText="1" shrinkToFit="1"/>
    </xf>
    <xf numFmtId="171" fontId="20" fillId="0" borderId="10" xfId="13" applyNumberFormat="1" applyFont="1" applyBorder="1" applyAlignment="1">
      <alignment horizontal="right"/>
    </xf>
    <xf numFmtId="49" fontId="3" fillId="14" borderId="6" xfId="13" applyNumberFormat="1" applyFont="1" applyFill="1" applyBorder="1" applyAlignment="1">
      <alignment wrapText="1" shrinkToFit="1"/>
    </xf>
    <xf numFmtId="49" fontId="3" fillId="14" borderId="7" xfId="13" applyNumberFormat="1" applyFont="1" applyFill="1" applyBorder="1" applyAlignment="1">
      <alignment wrapText="1" shrinkToFit="1"/>
    </xf>
    <xf numFmtId="0" fontId="20" fillId="14" borderId="5" xfId="16" applyFont="1" applyFill="1" applyBorder="1" applyAlignment="1">
      <alignment horizontal="left" wrapText="1"/>
    </xf>
    <xf numFmtId="171" fontId="20" fillId="14" borderId="6" xfId="13" applyNumberFormat="1" applyFont="1" applyFill="1" applyBorder="1" applyAlignment="1">
      <alignment horizontal="right"/>
    </xf>
    <xf numFmtId="4" fontId="20" fillId="14" borderId="6" xfId="13" applyNumberFormat="1" applyFont="1" applyFill="1" applyBorder="1" applyAlignment="1">
      <alignment horizontal="center"/>
    </xf>
    <xf numFmtId="49" fontId="20" fillId="14" borderId="6" xfId="13" applyNumberFormat="1" applyFont="1" applyFill="1" applyBorder="1" applyAlignment="1">
      <alignment horizontal="center" wrapText="1" shrinkToFit="1"/>
    </xf>
    <xf numFmtId="171" fontId="20" fillId="14" borderId="10" xfId="13" applyNumberFormat="1" applyFont="1" applyFill="1" applyBorder="1" applyAlignment="1">
      <alignment horizontal="right"/>
    </xf>
    <xf numFmtId="0" fontId="27" fillId="0" borderId="6" xfId="16" applyFont="1" applyBorder="1" applyAlignment="1">
      <alignment horizontal="left" wrapText="1"/>
    </xf>
    <xf numFmtId="0" fontId="20" fillId="14" borderId="6" xfId="16" applyFont="1" applyFill="1" applyBorder="1" applyAlignment="1">
      <alignment horizontal="center" wrapText="1"/>
    </xf>
    <xf numFmtId="0" fontId="20" fillId="7" borderId="6" xfId="16" applyFont="1" applyFill="1" applyBorder="1" applyAlignment="1">
      <alignment horizontal="center" wrapText="1"/>
    </xf>
    <xf numFmtId="0" fontId="20" fillId="0" borderId="6" xfId="16" applyFont="1" applyBorder="1" applyAlignment="1">
      <alignment horizontal="center" wrapText="1"/>
    </xf>
    <xf numFmtId="0" fontId="27" fillId="0" borderId="6" xfId="16" applyFont="1" applyFill="1" applyBorder="1" applyAlignment="1">
      <alignment horizontal="left" wrapText="1"/>
    </xf>
    <xf numFmtId="49" fontId="27" fillId="0" borderId="5" xfId="13" applyNumberFormat="1" applyFont="1" applyBorder="1" applyAlignment="1">
      <alignment horizontal="left" wrapText="1" shrinkToFit="1"/>
    </xf>
    <xf numFmtId="0" fontId="27" fillId="0" borderId="5" xfId="16" applyFont="1" applyFill="1" applyBorder="1" applyAlignment="1">
      <alignment horizontal="left" wrapText="1"/>
    </xf>
    <xf numFmtId="4" fontId="27" fillId="0" borderId="6" xfId="13" applyNumberFormat="1" applyFont="1" applyFill="1" applyBorder="1" applyAlignment="1">
      <alignment horizontal="right"/>
    </xf>
    <xf numFmtId="171" fontId="27" fillId="0" borderId="6" xfId="13" applyNumberFormat="1" applyFont="1" applyFill="1" applyBorder="1" applyAlignment="1">
      <alignment horizontal="right"/>
    </xf>
    <xf numFmtId="4" fontId="27" fillId="0" borderId="6" xfId="13" applyNumberFormat="1" applyFont="1" applyFill="1" applyBorder="1" applyAlignment="1">
      <alignment horizontal="center"/>
    </xf>
    <xf numFmtId="49" fontId="27" fillId="0" borderId="6" xfId="13" applyNumberFormat="1" applyFont="1" applyFill="1" applyBorder="1" applyAlignment="1">
      <alignment horizontal="left" wrapText="1" shrinkToFit="1"/>
    </xf>
    <xf numFmtId="171" fontId="27" fillId="0" borderId="10" xfId="13" applyNumberFormat="1" applyFont="1" applyFill="1" applyBorder="1" applyAlignment="1">
      <alignment horizontal="right"/>
    </xf>
    <xf numFmtId="49" fontId="27" fillId="0" borderId="5" xfId="13" applyNumberFormat="1" applyFont="1" applyFill="1" applyBorder="1" applyAlignment="1">
      <alignment horizontal="left" wrapText="1" shrinkToFit="1"/>
    </xf>
    <xf numFmtId="0" fontId="27" fillId="0" borderId="19" xfId="13" applyFont="1" applyBorder="1" applyAlignment="1">
      <alignment horizontal="left"/>
    </xf>
    <xf numFmtId="171" fontId="27" fillId="0" borderId="20" xfId="13" applyNumberFormat="1" applyFont="1" applyBorder="1" applyAlignment="1">
      <alignment horizontal="right"/>
    </xf>
    <xf numFmtId="4" fontId="27" fillId="0" borderId="20" xfId="13" applyNumberFormat="1" applyFont="1" applyBorder="1"/>
    <xf numFmtId="171" fontId="27" fillId="0" borderId="21" xfId="13" applyNumberFormat="1" applyFont="1" applyBorder="1" applyAlignment="1">
      <alignment horizontal="right"/>
    </xf>
    <xf numFmtId="0" fontId="1" fillId="0" borderId="0" xfId="13" applyFont="1"/>
    <xf numFmtId="171" fontId="1" fillId="0" borderId="0" xfId="13" applyNumberFormat="1" applyAlignment="1"/>
    <xf numFmtId="171" fontId="1" fillId="0" borderId="0" xfId="13" applyNumberFormat="1" applyFont="1" applyAlignment="1">
      <alignment horizontal="right"/>
    </xf>
    <xf numFmtId="171" fontId="1" fillId="0" borderId="0" xfId="13" applyNumberFormat="1" applyFont="1"/>
    <xf numFmtId="176" fontId="1" fillId="0" borderId="0" xfId="13" applyNumberFormat="1" applyFont="1"/>
    <xf numFmtId="0" fontId="1" fillId="0" borderId="0" xfId="13" applyFont="1" applyAlignment="1"/>
    <xf numFmtId="4" fontId="1" fillId="0" borderId="0" xfId="13" applyNumberFormat="1" applyFont="1"/>
    <xf numFmtId="49" fontId="1" fillId="0" borderId="7" xfId="13" applyNumberFormat="1" applyFont="1" applyFill="1" applyBorder="1" applyAlignment="1">
      <alignment horizontal="center" vertical="center" wrapText="1" shrinkToFit="1"/>
    </xf>
    <xf numFmtId="176" fontId="3" fillId="0" borderId="6" xfId="14" applyNumberFormat="1" applyFont="1" applyBorder="1" applyAlignment="1">
      <alignment horizontal="center" vertical="center" wrapText="1"/>
    </xf>
    <xf numFmtId="171" fontId="3" fillId="0" borderId="6" xfId="15" applyNumberFormat="1" applyFont="1" applyBorder="1" applyAlignment="1">
      <alignment horizontal="center" vertical="center"/>
    </xf>
    <xf numFmtId="4" fontId="3" fillId="0" borderId="10" xfId="15" applyNumberFormat="1" applyFont="1" applyBorder="1" applyAlignment="1">
      <alignment horizontal="center" vertical="center" wrapText="1"/>
    </xf>
    <xf numFmtId="49" fontId="1" fillId="14" borderId="6" xfId="13" applyNumberFormat="1" applyFont="1" applyFill="1" applyBorder="1" applyAlignment="1">
      <alignment horizontal="center" vertical="center" wrapText="1" shrinkToFit="1"/>
    </xf>
    <xf numFmtId="49" fontId="1" fillId="14" borderId="7" xfId="13" applyNumberFormat="1" applyFont="1" applyFill="1" applyBorder="1" applyAlignment="1">
      <alignment horizontal="center" vertical="center" wrapText="1" shrinkToFit="1"/>
    </xf>
    <xf numFmtId="49" fontId="1" fillId="12" borderId="7" xfId="13" applyNumberFormat="1" applyFont="1" applyFill="1" applyBorder="1" applyAlignment="1">
      <alignment horizontal="center" vertical="center" wrapText="1" shrinkToFit="1"/>
    </xf>
    <xf numFmtId="49" fontId="20" fillId="15" borderId="5" xfId="14" applyNumberFormat="1" applyFont="1" applyFill="1" applyBorder="1" applyAlignment="1">
      <alignment horizontal="left" wrapText="1" shrinkToFit="1"/>
    </xf>
    <xf numFmtId="49" fontId="1" fillId="0" borderId="6" xfId="13" applyNumberFormat="1" applyFont="1" applyBorder="1" applyAlignment="1">
      <alignment wrapText="1" shrinkToFit="1"/>
    </xf>
    <xf numFmtId="49" fontId="1" fillId="0" borderId="7" xfId="13" applyNumberFormat="1" applyFont="1" applyBorder="1" applyAlignment="1">
      <alignment wrapText="1" shrinkToFit="1"/>
    </xf>
    <xf numFmtId="176" fontId="27" fillId="0" borderId="6" xfId="13" applyNumberFormat="1" applyFont="1" applyBorder="1" applyAlignment="1"/>
    <xf numFmtId="49" fontId="20" fillId="7" borderId="5" xfId="13" applyNumberFormat="1" applyFont="1" applyFill="1" applyBorder="1" applyAlignment="1">
      <alignment horizontal="left" wrapText="1" shrinkToFit="1"/>
    </xf>
    <xf numFmtId="49" fontId="20" fillId="0" borderId="5" xfId="13" applyNumberFormat="1" applyFont="1" applyBorder="1" applyAlignment="1">
      <alignment horizontal="left" wrapText="1" shrinkToFit="1"/>
    </xf>
    <xf numFmtId="49" fontId="27" fillId="0" borderId="5" xfId="14" applyNumberFormat="1" applyFont="1" applyBorder="1" applyAlignment="1">
      <alignment horizontal="left" wrapText="1" shrinkToFit="1"/>
    </xf>
    <xf numFmtId="49" fontId="3" fillId="0" borderId="6" xfId="13" applyNumberFormat="1" applyFont="1" applyFill="1" applyBorder="1" applyAlignment="1">
      <alignment wrapText="1" shrinkToFit="1"/>
    </xf>
    <xf numFmtId="49" fontId="3" fillId="0" borderId="7" xfId="13" applyNumberFormat="1" applyFont="1" applyFill="1" applyBorder="1" applyAlignment="1">
      <alignment wrapText="1" shrinkToFit="1"/>
    </xf>
    <xf numFmtId="49" fontId="20" fillId="0" borderId="5" xfId="13" applyNumberFormat="1" applyFont="1" applyFill="1" applyBorder="1" applyAlignment="1">
      <alignment horizontal="left" wrapText="1" shrinkToFit="1"/>
    </xf>
    <xf numFmtId="171" fontId="20" fillId="0" borderId="6" xfId="13" applyNumberFormat="1" applyFont="1" applyFill="1" applyBorder="1" applyAlignment="1">
      <alignment horizontal="right"/>
    </xf>
    <xf numFmtId="171" fontId="20" fillId="0" borderId="10" xfId="13" applyNumberFormat="1" applyFont="1" applyFill="1" applyBorder="1" applyAlignment="1">
      <alignment horizontal="right"/>
    </xf>
    <xf numFmtId="171" fontId="27" fillId="0" borderId="10" xfId="13" quotePrefix="1" applyNumberFormat="1" applyFont="1" applyBorder="1" applyAlignment="1">
      <alignment horizontal="right"/>
    </xf>
    <xf numFmtId="0" fontId="3" fillId="7" borderId="6" xfId="13" applyFont="1" applyFill="1" applyBorder="1"/>
    <xf numFmtId="0" fontId="3" fillId="7" borderId="7" xfId="13" applyFont="1" applyFill="1" applyBorder="1"/>
    <xf numFmtId="0" fontId="20" fillId="7" borderId="5" xfId="13" applyFont="1" applyFill="1" applyBorder="1" applyAlignment="1">
      <alignment horizontal="left" wrapText="1"/>
    </xf>
    <xf numFmtId="0" fontId="3" fillId="0" borderId="6" xfId="13" applyFont="1" applyBorder="1"/>
    <xf numFmtId="0" fontId="3" fillId="0" borderId="7" xfId="13" applyFont="1" applyBorder="1"/>
    <xf numFmtId="0" fontId="20" fillId="0" borderId="5" xfId="13" applyFont="1" applyBorder="1" applyAlignment="1">
      <alignment horizontal="left" wrapText="1"/>
    </xf>
    <xf numFmtId="49" fontId="3" fillId="8" borderId="6" xfId="13" applyNumberFormat="1" applyFont="1" applyFill="1" applyBorder="1" applyAlignment="1">
      <alignment wrapText="1" shrinkToFit="1"/>
    </xf>
    <xf numFmtId="49" fontId="3" fillId="8" borderId="7" xfId="13" applyNumberFormat="1" applyFont="1" applyFill="1" applyBorder="1" applyAlignment="1">
      <alignment wrapText="1" shrinkToFit="1"/>
    </xf>
    <xf numFmtId="49" fontId="20" fillId="8" borderId="5" xfId="13" applyNumberFormat="1" applyFont="1" applyFill="1" applyBorder="1" applyAlignment="1">
      <alignment horizontal="left" wrapText="1" shrinkToFit="1"/>
    </xf>
    <xf numFmtId="171" fontId="20" fillId="8" borderId="6" xfId="13" applyNumberFormat="1" applyFont="1" applyFill="1" applyBorder="1" applyAlignment="1">
      <alignment horizontal="right"/>
    </xf>
    <xf numFmtId="0" fontId="3" fillId="14" borderId="6" xfId="13" applyFont="1" applyFill="1" applyBorder="1"/>
    <xf numFmtId="0" fontId="3" fillId="14" borderId="7" xfId="13" applyFont="1" applyFill="1" applyBorder="1"/>
    <xf numFmtId="49" fontId="20" fillId="0" borderId="5" xfId="14" applyNumberFormat="1" applyFont="1" applyBorder="1" applyAlignment="1">
      <alignment horizontal="left" wrapText="1" shrinkToFit="1"/>
    </xf>
    <xf numFmtId="49" fontId="20" fillId="7" borderId="5" xfId="14" applyNumberFormat="1" applyFont="1" applyFill="1" applyBorder="1" applyAlignment="1">
      <alignment horizontal="left" wrapText="1" shrinkToFit="1"/>
    </xf>
    <xf numFmtId="49" fontId="1" fillId="0" borderId="7" xfId="13" applyNumberFormat="1" applyFont="1" applyFill="1" applyBorder="1" applyAlignment="1">
      <alignment wrapText="1" shrinkToFit="1"/>
    </xf>
    <xf numFmtId="49" fontId="1" fillId="0" borderId="6" xfId="13" applyNumberFormat="1" applyFont="1" applyFill="1" applyBorder="1" applyAlignment="1">
      <alignment wrapText="1" shrinkToFit="1"/>
    </xf>
    <xf numFmtId="177" fontId="27" fillId="0" borderId="6" xfId="13" applyNumberFormat="1" applyFont="1" applyFill="1" applyBorder="1" applyAlignment="1"/>
    <xf numFmtId="0" fontId="1" fillId="0" borderId="0" xfId="13" applyFont="1" applyFill="1"/>
    <xf numFmtId="49" fontId="27" fillId="0" borderId="5" xfId="14" applyNumberFormat="1" applyFont="1" applyFill="1" applyBorder="1" applyAlignment="1">
      <alignment horizontal="left" wrapText="1" shrinkToFit="1"/>
    </xf>
    <xf numFmtId="49" fontId="20" fillId="8" borderId="5" xfId="14" applyNumberFormat="1" applyFont="1" applyFill="1" applyBorder="1" applyAlignment="1">
      <alignment horizontal="left" wrapText="1" shrinkToFit="1"/>
    </xf>
    <xf numFmtId="171" fontId="20" fillId="8" borderId="10" xfId="13" applyNumberFormat="1" applyFont="1" applyFill="1" applyBorder="1" applyAlignment="1">
      <alignment horizontal="right"/>
    </xf>
    <xf numFmtId="0" fontId="20" fillId="0" borderId="19" xfId="13" applyFont="1" applyBorder="1" applyAlignment="1">
      <alignment horizontal="left"/>
    </xf>
    <xf numFmtId="171" fontId="20" fillId="0" borderId="20" xfId="13" applyNumberFormat="1" applyFont="1" applyBorder="1"/>
    <xf numFmtId="171" fontId="20" fillId="0" borderId="21" xfId="13" applyNumberFormat="1" applyFont="1" applyBorder="1"/>
    <xf numFmtId="0" fontId="1" fillId="0" borderId="0" xfId="0" applyFont="1" applyAlignment="1">
      <alignment wrapText="1"/>
    </xf>
    <xf numFmtId="171" fontId="1" fillId="0" borderId="0" xfId="0" applyNumberFormat="1" applyFont="1"/>
    <xf numFmtId="0" fontId="1" fillId="0" borderId="0" xfId="0" applyFont="1" applyAlignment="1">
      <alignment horizontal="right" wrapText="1"/>
    </xf>
    <xf numFmtId="178" fontId="1" fillId="16" borderId="0" xfId="0" applyNumberFormat="1" applyFont="1" applyFill="1" applyAlignment="1">
      <alignment horizontal="left" wrapText="1"/>
    </xf>
    <xf numFmtId="0" fontId="1" fillId="0" borderId="0" xfId="0" applyFont="1"/>
    <xf numFmtId="0" fontId="3" fillId="0" borderId="0" xfId="0" applyFont="1" applyAlignment="1">
      <alignment horizontal="center" wrapText="1"/>
    </xf>
    <xf numFmtId="0" fontId="1" fillId="0" borderId="0" xfId="0" applyFont="1" applyFill="1"/>
    <xf numFmtId="178" fontId="1" fillId="16" borderId="9" xfId="0" applyNumberFormat="1" applyFont="1" applyFill="1" applyBorder="1" applyAlignment="1">
      <alignment horizontal="left" wrapText="1"/>
    </xf>
    <xf numFmtId="171" fontId="1" fillId="0" borderId="41" xfId="0" applyNumberFormat="1" applyFont="1" applyBorder="1" applyAlignment="1">
      <alignment horizontal="center" vertical="center"/>
    </xf>
    <xf numFmtId="0" fontId="3" fillId="17" borderId="40" xfId="0" applyFont="1" applyFill="1" applyBorder="1" applyAlignment="1">
      <alignment wrapText="1"/>
    </xf>
    <xf numFmtId="171" fontId="3" fillId="17" borderId="41" xfId="0" applyNumberFormat="1" applyFont="1" applyFill="1" applyBorder="1" applyAlignment="1"/>
    <xf numFmtId="171" fontId="3" fillId="17" borderId="41" xfId="0" applyNumberFormat="1" applyFont="1" applyFill="1" applyBorder="1" applyAlignment="1">
      <alignment horizontal="right"/>
    </xf>
    <xf numFmtId="0" fontId="1" fillId="17" borderId="42" xfId="0" applyFont="1" applyFill="1" applyBorder="1" applyAlignment="1">
      <alignment horizontal="left" wrapText="1"/>
    </xf>
    <xf numFmtId="0" fontId="1" fillId="0" borderId="40" xfId="0" applyFont="1" applyBorder="1" applyAlignment="1">
      <alignment wrapText="1"/>
    </xf>
    <xf numFmtId="171" fontId="1" fillId="0" borderId="41" xfId="0" applyNumberFormat="1" applyFont="1" applyBorder="1" applyAlignment="1">
      <alignment horizontal="right"/>
    </xf>
    <xf numFmtId="0" fontId="1" fillId="0" borderId="42" xfId="0" applyFont="1" applyBorder="1" applyAlignment="1">
      <alignment horizontal="left" wrapText="1"/>
    </xf>
    <xf numFmtId="0" fontId="38" fillId="18" borderId="40" xfId="0" applyFont="1" applyFill="1" applyBorder="1" applyAlignment="1">
      <alignment horizontal="left" wrapText="1"/>
    </xf>
    <xf numFmtId="171" fontId="1" fillId="18" borderId="41" xfId="0" applyNumberFormat="1" applyFont="1" applyFill="1" applyBorder="1" applyAlignment="1">
      <alignment horizontal="right"/>
    </xf>
    <xf numFmtId="0" fontId="1" fillId="18" borderId="42" xfId="0" applyFont="1" applyFill="1" applyBorder="1" applyAlignment="1">
      <alignment horizontal="left" wrapText="1"/>
    </xf>
    <xf numFmtId="0" fontId="38" fillId="0" borderId="40" xfId="0" applyFont="1" applyBorder="1" applyAlignment="1">
      <alignment horizontal="right" wrapText="1"/>
    </xf>
    <xf numFmtId="171" fontId="38" fillId="0" borderId="41" xfId="0" applyNumberFormat="1" applyFont="1" applyBorder="1" applyAlignment="1">
      <alignment horizontal="right"/>
    </xf>
    <xf numFmtId="0" fontId="3" fillId="0" borderId="40" xfId="0" applyFont="1" applyBorder="1" applyAlignment="1">
      <alignment wrapText="1"/>
    </xf>
    <xf numFmtId="171" fontId="3" fillId="0" borderId="41" xfId="0" applyNumberFormat="1" applyFont="1" applyBorder="1" applyAlignment="1">
      <alignment horizontal="right"/>
    </xf>
    <xf numFmtId="0" fontId="3" fillId="17" borderId="42" xfId="0" applyFont="1" applyFill="1" applyBorder="1" applyAlignment="1">
      <alignment horizontal="left" wrapText="1"/>
    </xf>
    <xf numFmtId="0" fontId="1" fillId="13" borderId="40" xfId="0" applyFont="1" applyFill="1" applyBorder="1" applyAlignment="1">
      <alignment wrapText="1"/>
    </xf>
    <xf numFmtId="0" fontId="1" fillId="18" borderId="40" xfId="0" applyFont="1" applyFill="1" applyBorder="1" applyAlignment="1">
      <alignment wrapText="1"/>
    </xf>
    <xf numFmtId="0" fontId="38" fillId="0" borderId="40" xfId="0" applyFont="1" applyFill="1" applyBorder="1" applyAlignment="1">
      <alignment horizontal="right" wrapText="1"/>
    </xf>
    <xf numFmtId="171" fontId="38" fillId="0" borderId="41" xfId="0" applyNumberFormat="1" applyFont="1" applyFill="1" applyBorder="1" applyAlignment="1">
      <alignment horizontal="right"/>
    </xf>
    <xf numFmtId="0" fontId="1" fillId="0" borderId="42" xfId="0" applyFont="1" applyFill="1" applyBorder="1" applyAlignment="1">
      <alignment horizontal="left" wrapText="1"/>
    </xf>
    <xf numFmtId="178" fontId="38" fillId="16" borderId="9" xfId="0" applyNumberFormat="1" applyFont="1" applyFill="1" applyBorder="1" applyAlignment="1">
      <alignment horizontal="left" wrapText="1"/>
    </xf>
    <xf numFmtId="0" fontId="38" fillId="0" borderId="0" xfId="0" applyFont="1" applyFill="1"/>
    <xf numFmtId="0" fontId="38" fillId="13" borderId="40" xfId="0" applyFont="1" applyFill="1" applyBorder="1" applyAlignment="1">
      <alignment horizontal="right" wrapText="1"/>
    </xf>
    <xf numFmtId="171" fontId="1" fillId="13" borderId="41" xfId="0" applyNumberFormat="1" applyFont="1" applyFill="1" applyBorder="1" applyAlignment="1">
      <alignment horizontal="right"/>
    </xf>
    <xf numFmtId="0" fontId="1" fillId="13" borderId="42" xfId="0" applyFont="1" applyFill="1" applyBorder="1" applyAlignment="1">
      <alignment horizontal="left" wrapText="1"/>
    </xf>
    <xf numFmtId="0" fontId="1" fillId="13" borderId="0" xfId="0" applyFont="1" applyFill="1"/>
    <xf numFmtId="0" fontId="38" fillId="0" borderId="0" xfId="0" applyFont="1" applyFill="1" applyAlignment="1">
      <alignment horizontal="right"/>
    </xf>
    <xf numFmtId="171" fontId="38" fillId="13" borderId="41" xfId="0" applyNumberFormat="1" applyFont="1" applyFill="1" applyBorder="1" applyAlignment="1">
      <alignment horizontal="right"/>
    </xf>
    <xf numFmtId="0" fontId="1" fillId="18" borderId="40" xfId="0" applyFont="1" applyFill="1" applyBorder="1" applyAlignment="1">
      <alignment horizontal="left" wrapText="1"/>
    </xf>
    <xf numFmtId="171" fontId="38" fillId="18" borderId="41" xfId="0" applyNumberFormat="1" applyFont="1" applyFill="1" applyBorder="1" applyAlignment="1">
      <alignment horizontal="right"/>
    </xf>
    <xf numFmtId="171" fontId="3" fillId="17" borderId="42" xfId="0" applyNumberFormat="1" applyFont="1" applyFill="1" applyBorder="1" applyAlignment="1">
      <alignment horizontal="left"/>
    </xf>
    <xf numFmtId="0" fontId="40" fillId="13" borderId="40" xfId="0" applyFont="1" applyFill="1" applyBorder="1" applyAlignment="1">
      <alignment horizontal="right" wrapText="1"/>
    </xf>
    <xf numFmtId="171" fontId="40" fillId="0" borderId="41" xfId="0" applyNumberFormat="1" applyFont="1" applyBorder="1" applyAlignment="1">
      <alignment horizontal="right"/>
    </xf>
    <xf numFmtId="0" fontId="3" fillId="18" borderId="42" xfId="0" applyFont="1" applyFill="1" applyBorder="1" applyAlignment="1">
      <alignment horizontal="left" wrapText="1"/>
    </xf>
    <xf numFmtId="0" fontId="1" fillId="18" borderId="42" xfId="0" applyFont="1" applyFill="1" applyBorder="1" applyAlignment="1">
      <alignment horizontal="left" vertical="center" wrapText="1"/>
    </xf>
    <xf numFmtId="0" fontId="38" fillId="13" borderId="40" xfId="0" applyFont="1" applyFill="1" applyBorder="1" applyAlignment="1">
      <alignment horizontal="center" wrapText="1"/>
    </xf>
    <xf numFmtId="0" fontId="1" fillId="17" borderId="42" xfId="0" applyFont="1" applyFill="1" applyBorder="1" applyAlignment="1">
      <alignment horizontal="left" vertical="center" wrapText="1"/>
    </xf>
    <xf numFmtId="0" fontId="1" fillId="13" borderId="42" xfId="0" applyFont="1" applyFill="1" applyBorder="1" applyAlignment="1">
      <alignment horizontal="left" vertical="center" wrapText="1"/>
    </xf>
    <xf numFmtId="0" fontId="3" fillId="13" borderId="40" xfId="0" applyFont="1" applyFill="1" applyBorder="1" applyAlignment="1">
      <alignment wrapText="1"/>
    </xf>
    <xf numFmtId="171" fontId="3" fillId="13" borderId="41" xfId="0" applyNumberFormat="1" applyFont="1" applyFill="1" applyBorder="1" applyAlignment="1">
      <alignment horizontal="right"/>
    </xf>
    <xf numFmtId="0" fontId="3" fillId="18" borderId="42" xfId="0" applyFont="1" applyFill="1" applyBorder="1" applyAlignment="1">
      <alignment horizontal="left" vertical="center" wrapText="1"/>
    </xf>
    <xf numFmtId="0" fontId="3" fillId="0" borderId="43" xfId="0" applyFont="1" applyBorder="1" applyAlignment="1">
      <alignment wrapText="1"/>
    </xf>
    <xf numFmtId="171" fontId="3" fillId="0" borderId="44" xfId="0" applyNumberFormat="1" applyFont="1" applyBorder="1" applyAlignment="1">
      <alignment horizontal="right"/>
    </xf>
    <xf numFmtId="0" fontId="3" fillId="0" borderId="45" xfId="0" applyFont="1" applyBorder="1" applyAlignment="1">
      <alignment horizontal="center" wrapText="1"/>
    </xf>
    <xf numFmtId="0" fontId="1" fillId="0" borderId="0" xfId="0" applyFont="1" applyBorder="1" applyAlignment="1">
      <alignment wrapText="1"/>
    </xf>
    <xf numFmtId="171" fontId="1" fillId="0" borderId="0" xfId="0" applyNumberFormat="1" applyFont="1" applyBorder="1"/>
    <xf numFmtId="178" fontId="1" fillId="16" borderId="0" xfId="0" applyNumberFormat="1" applyFont="1" applyFill="1" applyBorder="1" applyAlignment="1">
      <alignment horizontal="left" wrapText="1"/>
    </xf>
    <xf numFmtId="0" fontId="1" fillId="0" borderId="0" xfId="0" applyFont="1" applyBorder="1"/>
    <xf numFmtId="0" fontId="3" fillId="0" borderId="0" xfId="0" applyFont="1" applyBorder="1" applyAlignment="1">
      <alignment horizontal="center" vertical="center" wrapText="1"/>
    </xf>
    <xf numFmtId="171" fontId="1" fillId="0" borderId="0" xfId="0" applyNumberFormat="1" applyFont="1" applyBorder="1" applyAlignment="1">
      <alignment horizontal="center" vertical="center"/>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171" fontId="3" fillId="0" borderId="0" xfId="0" applyNumberFormat="1" applyFont="1" applyBorder="1" applyAlignment="1">
      <alignment horizontal="right" vertical="center"/>
    </xf>
    <xf numFmtId="176" fontId="1" fillId="0" borderId="0" xfId="0" applyNumberFormat="1" applyFont="1" applyBorder="1" applyAlignment="1">
      <alignment horizontal="right" wrapText="1"/>
    </xf>
    <xf numFmtId="171" fontId="3" fillId="0" borderId="0" xfId="0" applyNumberFormat="1" applyFont="1" applyBorder="1" applyAlignment="1">
      <alignment horizontal="right" vertical="center" wrapText="1"/>
    </xf>
    <xf numFmtId="176" fontId="1" fillId="0" borderId="0" xfId="0" applyNumberFormat="1" applyFont="1" applyBorder="1" applyAlignment="1">
      <alignment wrapText="1"/>
    </xf>
    <xf numFmtId="0" fontId="1" fillId="0" borderId="0" xfId="17" applyFont="1" applyBorder="1" applyAlignment="1">
      <alignment vertical="center" wrapText="1"/>
    </xf>
    <xf numFmtId="166" fontId="1" fillId="0" borderId="0" xfId="17" applyNumberFormat="1" applyFont="1" applyBorder="1" applyAlignment="1">
      <alignment vertical="center" wrapText="1"/>
    </xf>
    <xf numFmtId="166" fontId="1" fillId="0" borderId="0" xfId="17" applyNumberFormat="1" applyFont="1" applyBorder="1" applyAlignment="1">
      <alignment horizontal="right" vertical="center"/>
    </xf>
    <xf numFmtId="166" fontId="1" fillId="0" borderId="0" xfId="17" applyNumberFormat="1" applyFont="1" applyFill="1" applyBorder="1" applyAlignment="1">
      <alignment vertical="center" wrapText="1"/>
    </xf>
    <xf numFmtId="0" fontId="1" fillId="0" borderId="0" xfId="17" applyFont="1" applyFill="1" applyBorder="1" applyAlignment="1">
      <alignment vertical="center" wrapText="1"/>
    </xf>
    <xf numFmtId="0" fontId="3" fillId="0" borderId="0" xfId="17" applyFont="1" applyBorder="1" applyAlignment="1">
      <alignment horizontal="center" vertical="center" wrapText="1"/>
    </xf>
    <xf numFmtId="0" fontId="3" fillId="0" borderId="0" xfId="17" applyFont="1" applyFill="1" applyBorder="1" applyAlignment="1">
      <alignment horizontal="center" vertical="center" wrapText="1"/>
    </xf>
    <xf numFmtId="0" fontId="3" fillId="0" borderId="41" xfId="18" applyFont="1" applyBorder="1" applyAlignment="1">
      <alignment horizontal="center" vertical="center" wrapText="1"/>
    </xf>
    <xf numFmtId="0" fontId="3" fillId="0" borderId="41" xfId="18" applyFont="1" applyFill="1" applyBorder="1" applyAlignment="1">
      <alignment horizontal="center" vertical="center" wrapText="1"/>
    </xf>
    <xf numFmtId="0" fontId="3" fillId="0" borderId="42" xfId="18" applyFont="1" applyFill="1" applyBorder="1" applyAlignment="1">
      <alignment horizontal="center" vertical="center" wrapText="1"/>
    </xf>
    <xf numFmtId="0" fontId="3" fillId="0" borderId="40" xfId="18" applyFont="1" applyBorder="1" applyAlignment="1">
      <alignment horizontal="center" vertical="center" wrapText="1"/>
    </xf>
    <xf numFmtId="0" fontId="3" fillId="13" borderId="41" xfId="18" applyFont="1" applyFill="1" applyBorder="1" applyAlignment="1">
      <alignment horizontal="center" vertical="center" wrapText="1"/>
    </xf>
    <xf numFmtId="0" fontId="3" fillId="0" borderId="41" xfId="17" applyFont="1" applyBorder="1" applyAlignment="1">
      <alignment horizontal="center" vertical="center" wrapText="1"/>
    </xf>
    <xf numFmtId="0" fontId="3" fillId="0" borderId="42" xfId="17" applyFont="1" applyBorder="1" applyAlignment="1">
      <alignment horizontal="center" vertical="center" wrapText="1"/>
    </xf>
    <xf numFmtId="0" fontId="1" fillId="0" borderId="40" xfId="18" applyFont="1" applyBorder="1" applyAlignment="1">
      <alignment horizontal="center" vertical="center" wrapText="1"/>
    </xf>
    <xf numFmtId="0" fontId="1" fillId="13" borderId="41" xfId="18" applyFont="1" applyFill="1" applyBorder="1" applyAlignment="1">
      <alignment horizontal="center" vertical="center" wrapText="1"/>
    </xf>
    <xf numFmtId="0" fontId="1" fillId="0" borderId="41" xfId="17" applyFont="1" applyBorder="1" applyAlignment="1">
      <alignment horizontal="center" vertical="center" wrapText="1"/>
    </xf>
    <xf numFmtId="0" fontId="1" fillId="0" borderId="42" xfId="17" applyFont="1" applyBorder="1" applyAlignment="1">
      <alignment horizontal="center" vertical="center" wrapText="1"/>
    </xf>
    <xf numFmtId="0" fontId="3" fillId="18" borderId="40" xfId="18" applyFont="1" applyFill="1" applyBorder="1" applyAlignment="1">
      <alignment vertical="center" wrapText="1"/>
    </xf>
    <xf numFmtId="173" fontId="3" fillId="18" borderId="41" xfId="18" applyNumberFormat="1" applyFont="1" applyFill="1" applyBorder="1" applyAlignment="1">
      <alignment horizontal="center" vertical="center" wrapText="1"/>
    </xf>
    <xf numFmtId="171" fontId="3" fillId="18" borderId="41" xfId="18" applyNumberFormat="1" applyFont="1" applyFill="1" applyBorder="1" applyAlignment="1">
      <alignment vertical="center" wrapText="1"/>
    </xf>
    <xf numFmtId="166" fontId="3" fillId="18" borderId="41" xfId="18" applyNumberFormat="1" applyFont="1" applyFill="1" applyBorder="1" applyAlignment="1">
      <alignment vertical="center" wrapText="1"/>
    </xf>
    <xf numFmtId="171" fontId="3" fillId="18" borderId="41" xfId="17" applyNumberFormat="1" applyFont="1" applyFill="1" applyBorder="1" applyAlignment="1">
      <alignment vertical="center" wrapText="1"/>
    </xf>
    <xf numFmtId="171" fontId="3" fillId="18" borderId="42" xfId="17" applyNumberFormat="1" applyFont="1" applyFill="1" applyBorder="1" applyAlignment="1">
      <alignment vertical="center" wrapText="1"/>
    </xf>
    <xf numFmtId="179" fontId="3" fillId="0" borderId="0" xfId="17" applyNumberFormat="1" applyFont="1" applyFill="1" applyBorder="1" applyAlignment="1">
      <alignment vertical="center" wrapText="1"/>
    </xf>
    <xf numFmtId="166" fontId="3" fillId="0" borderId="0" xfId="17" applyNumberFormat="1" applyFont="1" applyFill="1" applyBorder="1" applyAlignment="1">
      <alignment vertical="center" wrapText="1"/>
    </xf>
    <xf numFmtId="166" fontId="3" fillId="18" borderId="0" xfId="17" applyNumberFormat="1" applyFont="1" applyFill="1" applyBorder="1" applyAlignment="1">
      <alignment vertical="center" wrapText="1"/>
    </xf>
    <xf numFmtId="0" fontId="1" fillId="13" borderId="40" xfId="18" applyFont="1" applyFill="1" applyBorder="1" applyAlignment="1">
      <alignment vertical="center" wrapText="1"/>
    </xf>
    <xf numFmtId="173" fontId="1" fillId="13" borderId="41" xfId="18" applyNumberFormat="1" applyFont="1" applyFill="1" applyBorder="1" applyAlignment="1">
      <alignment horizontal="center" vertical="center" wrapText="1"/>
    </xf>
    <xf numFmtId="171" fontId="1" fillId="13" borderId="41" xfId="18" applyNumberFormat="1" applyFont="1" applyFill="1" applyBorder="1" applyAlignment="1">
      <alignment vertical="center" wrapText="1"/>
    </xf>
    <xf numFmtId="166" fontId="1" fillId="13" borderId="41" xfId="18" applyNumberFormat="1" applyFont="1" applyFill="1" applyBorder="1" applyAlignment="1">
      <alignment vertical="center" wrapText="1"/>
    </xf>
    <xf numFmtId="171" fontId="1" fillId="0" borderId="41" xfId="17" applyNumberFormat="1" applyFont="1" applyFill="1" applyBorder="1" applyAlignment="1">
      <alignment vertical="center" wrapText="1"/>
    </xf>
    <xf numFmtId="171" fontId="1" fillId="0" borderId="42" xfId="17" applyNumberFormat="1" applyFont="1" applyFill="1" applyBorder="1" applyAlignment="1">
      <alignment vertical="center" wrapText="1"/>
    </xf>
    <xf numFmtId="179" fontId="1" fillId="0" borderId="0" xfId="17" applyNumberFormat="1" applyFont="1" applyFill="1" applyBorder="1" applyAlignment="1">
      <alignment vertical="center" wrapText="1"/>
    </xf>
    <xf numFmtId="166" fontId="0" fillId="13" borderId="41" xfId="0" applyNumberFormat="1" applyFont="1" applyFill="1" applyBorder="1" applyAlignment="1">
      <alignment vertical="center" wrapText="1"/>
    </xf>
    <xf numFmtId="0" fontId="41" fillId="18" borderId="40" xfId="18" applyFont="1" applyFill="1" applyBorder="1" applyAlignment="1">
      <alignment vertical="center" wrapText="1"/>
    </xf>
    <xf numFmtId="166" fontId="3" fillId="0" borderId="0" xfId="17" applyNumberFormat="1" applyFont="1" applyBorder="1" applyAlignment="1">
      <alignment vertical="center" wrapText="1"/>
    </xf>
    <xf numFmtId="166" fontId="1" fillId="18" borderId="0" xfId="17" applyNumberFormat="1" applyFont="1" applyFill="1" applyBorder="1" applyAlignment="1">
      <alignment vertical="center" wrapText="1"/>
    </xf>
    <xf numFmtId="0" fontId="17" fillId="13" borderId="40" xfId="18" applyFont="1" applyFill="1" applyBorder="1" applyAlignment="1">
      <alignment vertical="center" wrapText="1"/>
    </xf>
    <xf numFmtId="0" fontId="1" fillId="0" borderId="40" xfId="18" applyFont="1" applyBorder="1" applyAlignment="1">
      <alignment vertical="center" wrapText="1"/>
    </xf>
    <xf numFmtId="166" fontId="1" fillId="0" borderId="41" xfId="18" applyNumberFormat="1" applyFont="1" applyBorder="1" applyAlignment="1">
      <alignment vertical="center" wrapText="1"/>
    </xf>
    <xf numFmtId="0" fontId="3" fillId="7" borderId="43" xfId="18" applyFont="1" applyFill="1" applyBorder="1" applyAlignment="1">
      <alignment vertical="center" wrapText="1"/>
    </xf>
    <xf numFmtId="173" fontId="3" fillId="7" borderId="44" xfId="18" applyNumberFormat="1" applyFont="1" applyFill="1" applyBorder="1" applyAlignment="1">
      <alignment vertical="center" wrapText="1"/>
    </xf>
    <xf numFmtId="171" fontId="3" fillId="7" borderId="44" xfId="18" applyNumberFormat="1" applyFont="1" applyFill="1" applyBorder="1" applyAlignment="1">
      <alignment vertical="center" wrapText="1"/>
    </xf>
    <xf numFmtId="166" fontId="3" fillId="7" borderId="44" xfId="18" applyNumberFormat="1" applyFont="1" applyFill="1" applyBorder="1" applyAlignment="1">
      <alignment vertical="center" wrapText="1"/>
    </xf>
    <xf numFmtId="171" fontId="3" fillId="7" borderId="44" xfId="17" applyNumberFormat="1" applyFont="1" applyFill="1" applyBorder="1" applyAlignment="1">
      <alignment vertical="center" wrapText="1"/>
    </xf>
    <xf numFmtId="171" fontId="3" fillId="7" borderId="45" xfId="17" applyNumberFormat="1" applyFont="1" applyFill="1" applyBorder="1" applyAlignment="1">
      <alignment vertical="center" wrapText="1"/>
    </xf>
    <xf numFmtId="49" fontId="1" fillId="0" borderId="6" xfId="13" applyNumberFormat="1" applyFont="1" applyFill="1" applyBorder="1" applyAlignment="1">
      <alignment horizontal="center" vertical="center" wrapText="1" shrinkToFit="1"/>
    </xf>
    <xf numFmtId="0" fontId="0" fillId="0" borderId="0" xfId="0" applyFont="1" applyAlignment="1">
      <alignment horizontal="right" vertical="center" wrapText="1"/>
    </xf>
    <xf numFmtId="0" fontId="0" fillId="0" borderId="0" xfId="0" applyFont="1" applyAlignment="1">
      <alignment horizontal="right" wrapText="1"/>
    </xf>
    <xf numFmtId="0" fontId="0" fillId="0" borderId="0" xfId="0" applyFont="1" applyFill="1" applyAlignment="1">
      <alignment horizontal="right" vertical="center"/>
    </xf>
    <xf numFmtId="176" fontId="20" fillId="8" borderId="6" xfId="13" applyNumberFormat="1" applyFont="1" applyFill="1" applyBorder="1" applyAlignment="1">
      <alignment horizontal="center"/>
    </xf>
    <xf numFmtId="171" fontId="20" fillId="8" borderId="6" xfId="13" applyNumberFormat="1" applyFont="1" applyFill="1" applyBorder="1" applyAlignment="1">
      <alignment horizontal="center"/>
    </xf>
    <xf numFmtId="176" fontId="20" fillId="7" borderId="6" xfId="13" applyNumberFormat="1" applyFont="1" applyFill="1" applyBorder="1" applyAlignment="1">
      <alignment horizontal="center"/>
    </xf>
    <xf numFmtId="171" fontId="20" fillId="7" borderId="6" xfId="13" applyNumberFormat="1" applyFont="1" applyFill="1" applyBorder="1" applyAlignment="1">
      <alignment horizontal="center"/>
    </xf>
    <xf numFmtId="0" fontId="20" fillId="8" borderId="5" xfId="13" applyFont="1" applyFill="1" applyBorder="1" applyAlignment="1">
      <alignment horizontal="left" wrapText="1"/>
    </xf>
    <xf numFmtId="4" fontId="20" fillId="8" borderId="6" xfId="13" applyNumberFormat="1" applyFont="1" applyFill="1" applyBorder="1" applyAlignment="1">
      <alignment horizontal="center"/>
    </xf>
    <xf numFmtId="176" fontId="20" fillId="0" borderId="6" xfId="13" applyNumberFormat="1" applyFont="1" applyBorder="1" applyAlignment="1">
      <alignment horizontal="center"/>
    </xf>
    <xf numFmtId="176" fontId="20" fillId="8" borderId="6" xfId="13" applyNumberFormat="1" applyFont="1" applyFill="1" applyBorder="1" applyAlignment="1">
      <alignment horizontal="center" wrapText="1" shrinkToFit="1"/>
    </xf>
    <xf numFmtId="171" fontId="20" fillId="8" borderId="6" xfId="13" applyNumberFormat="1" applyFont="1" applyFill="1" applyBorder="1" applyAlignment="1">
      <alignment horizontal="right" wrapText="1" shrinkToFit="1"/>
    </xf>
    <xf numFmtId="171" fontId="20" fillId="8" borderId="10" xfId="13" applyNumberFormat="1" applyFont="1" applyFill="1" applyBorder="1" applyAlignment="1">
      <alignment horizontal="right" wrapText="1" shrinkToFit="1"/>
    </xf>
    <xf numFmtId="176" fontId="20" fillId="12" borderId="6" xfId="13" applyNumberFormat="1" applyFont="1" applyFill="1" applyBorder="1" applyAlignment="1">
      <alignment horizontal="center" wrapText="1" shrinkToFit="1"/>
    </xf>
    <xf numFmtId="171" fontId="20" fillId="12" borderId="6" xfId="13" applyNumberFormat="1" applyFont="1" applyFill="1" applyBorder="1" applyAlignment="1">
      <alignment horizontal="right" wrapText="1" shrinkToFit="1"/>
    </xf>
    <xf numFmtId="171" fontId="20" fillId="12" borderId="10" xfId="13" applyNumberFormat="1" applyFont="1" applyFill="1" applyBorder="1" applyAlignment="1">
      <alignment horizontal="right" wrapText="1" shrinkToFit="1"/>
    </xf>
    <xf numFmtId="171" fontId="20" fillId="0" borderId="6" xfId="13" applyNumberFormat="1" applyFont="1" applyBorder="1" applyAlignment="1">
      <alignment horizontal="center"/>
    </xf>
    <xf numFmtId="176" fontId="20" fillId="0" borderId="20" xfId="13" applyNumberFormat="1" applyFont="1" applyBorder="1" applyAlignment="1">
      <alignment horizontal="center"/>
    </xf>
    <xf numFmtId="49" fontId="1" fillId="0" borderId="3" xfId="13" applyNumberFormat="1" applyFont="1" applyFill="1" applyBorder="1" applyAlignment="1">
      <alignment horizontal="center" vertical="center" wrapText="1" shrinkToFit="1"/>
    </xf>
    <xf numFmtId="49" fontId="1" fillId="14" borderId="5" xfId="13" applyNumberFormat="1" applyFont="1" applyFill="1" applyBorder="1" applyAlignment="1">
      <alignment horizontal="right" vertical="center" wrapText="1" shrinkToFit="1"/>
    </xf>
    <xf numFmtId="49" fontId="1" fillId="12" borderId="5" xfId="13" applyNumberFormat="1" applyFont="1" applyFill="1" applyBorder="1" applyAlignment="1">
      <alignment horizontal="center" vertical="center" wrapText="1" shrinkToFit="1"/>
    </xf>
    <xf numFmtId="49" fontId="1" fillId="0" borderId="5" xfId="13" applyNumberFormat="1" applyFont="1" applyBorder="1" applyAlignment="1">
      <alignment wrapText="1" shrinkToFit="1"/>
    </xf>
    <xf numFmtId="49" fontId="3" fillId="7" borderId="5" xfId="13" applyNumberFormat="1" applyFont="1" applyFill="1" applyBorder="1" applyAlignment="1">
      <alignment wrapText="1" shrinkToFit="1"/>
    </xf>
    <xf numFmtId="49" fontId="3" fillId="0" borderId="5" xfId="13" applyNumberFormat="1" applyFont="1" applyBorder="1" applyAlignment="1">
      <alignment wrapText="1" shrinkToFit="1"/>
    </xf>
    <xf numFmtId="49" fontId="3" fillId="0" borderId="5" xfId="13" applyNumberFormat="1" applyFont="1" applyFill="1" applyBorder="1" applyAlignment="1">
      <alignment wrapText="1" shrinkToFit="1"/>
    </xf>
    <xf numFmtId="0" fontId="3" fillId="7" borderId="5" xfId="13" applyFont="1" applyFill="1" applyBorder="1"/>
    <xf numFmtId="0" fontId="3" fillId="0" borderId="5" xfId="13" applyFont="1" applyBorder="1"/>
    <xf numFmtId="49" fontId="3" fillId="8" borderId="5" xfId="13" applyNumberFormat="1" applyFont="1" applyFill="1" applyBorder="1" applyAlignment="1">
      <alignment horizontal="right" wrapText="1" shrinkToFit="1"/>
    </xf>
    <xf numFmtId="49" fontId="3" fillId="14" borderId="5" xfId="13" applyNumberFormat="1" applyFont="1" applyFill="1" applyBorder="1" applyAlignment="1">
      <alignment horizontal="right" wrapText="1" shrinkToFit="1"/>
    </xf>
    <xf numFmtId="175" fontId="3" fillId="14" borderId="5" xfId="13" applyNumberFormat="1" applyFont="1" applyFill="1" applyBorder="1" applyAlignment="1">
      <alignment horizontal="right"/>
    </xf>
    <xf numFmtId="49" fontId="1" fillId="0" borderId="5" xfId="13" applyNumberFormat="1" applyFont="1" applyFill="1" applyBorder="1" applyAlignment="1">
      <alignment wrapText="1" shrinkToFit="1"/>
    </xf>
    <xf numFmtId="0" fontId="3" fillId="0" borderId="19" xfId="13" applyFont="1" applyBorder="1" applyAlignment="1"/>
    <xf numFmtId="0" fontId="3" fillId="0" borderId="20" xfId="13" applyFont="1" applyBorder="1" applyAlignment="1"/>
    <xf numFmtId="177" fontId="20" fillId="8" borderId="6" xfId="13" applyNumberFormat="1" applyFont="1" applyFill="1" applyBorder="1" applyAlignment="1">
      <alignment wrapText="1" shrinkToFit="1"/>
    </xf>
    <xf numFmtId="177" fontId="20" fillId="12" borderId="6" xfId="13" applyNumberFormat="1" applyFont="1" applyFill="1" applyBorder="1" applyAlignment="1">
      <alignment wrapText="1" shrinkToFit="1"/>
    </xf>
    <xf numFmtId="177" fontId="27" fillId="0" borderId="6" xfId="13" applyNumberFormat="1" applyFont="1" applyBorder="1" applyAlignment="1"/>
    <xf numFmtId="177" fontId="20" fillId="7" borderId="6" xfId="13" applyNumberFormat="1" applyFont="1" applyFill="1" applyBorder="1" applyAlignment="1"/>
    <xf numFmtId="177" fontId="20" fillId="0" borderId="6" xfId="13" applyNumberFormat="1" applyFont="1" applyBorder="1" applyAlignment="1"/>
    <xf numFmtId="177" fontId="20" fillId="0" borderId="6" xfId="13" applyNumberFormat="1" applyFont="1" applyFill="1" applyBorder="1" applyAlignment="1"/>
    <xf numFmtId="177" fontId="20" fillId="8" borderId="6" xfId="13" applyNumberFormat="1" applyFont="1" applyFill="1" applyBorder="1" applyAlignment="1"/>
    <xf numFmtId="177" fontId="20" fillId="0" borderId="20" xfId="13" applyNumberFormat="1" applyFont="1" applyBorder="1" applyAlignment="1">
      <alignment horizontal="right"/>
    </xf>
    <xf numFmtId="0" fontId="0" fillId="0" borderId="0" xfId="0" applyAlignment="1"/>
    <xf numFmtId="171" fontId="3" fillId="0" borderId="9" xfId="15" applyNumberFormat="1" applyFont="1" applyBorder="1" applyAlignment="1">
      <alignment horizontal="center" vertical="center" wrapText="1"/>
    </xf>
    <xf numFmtId="171" fontId="20" fillId="8" borderId="9" xfId="13" applyNumberFormat="1" applyFont="1" applyFill="1" applyBorder="1" applyAlignment="1">
      <alignment horizontal="right" wrapText="1" shrinkToFit="1"/>
    </xf>
    <xf numFmtId="171" fontId="20" fillId="12" borderId="9" xfId="13" applyNumberFormat="1" applyFont="1" applyFill="1" applyBorder="1" applyAlignment="1">
      <alignment horizontal="right" wrapText="1" shrinkToFit="1"/>
    </xf>
    <xf numFmtId="171" fontId="27" fillId="0" borderId="9" xfId="13" applyNumberFormat="1" applyFont="1" applyBorder="1" applyAlignment="1">
      <alignment horizontal="right"/>
    </xf>
    <xf numFmtId="171" fontId="20" fillId="7" borderId="9" xfId="13" applyNumberFormat="1" applyFont="1" applyFill="1" applyBorder="1" applyAlignment="1">
      <alignment horizontal="right"/>
    </xf>
    <xf numFmtId="171" fontId="20" fillId="0" borderId="9" xfId="13" applyNumberFormat="1" applyFont="1" applyBorder="1" applyAlignment="1">
      <alignment horizontal="right"/>
    </xf>
    <xf numFmtId="171" fontId="20" fillId="0" borderId="9" xfId="13" applyNumberFormat="1" applyFont="1" applyFill="1" applyBorder="1" applyAlignment="1">
      <alignment horizontal="right"/>
    </xf>
    <xf numFmtId="171" fontId="20" fillId="8" borderId="9" xfId="13" applyNumberFormat="1" applyFont="1" applyFill="1" applyBorder="1" applyAlignment="1">
      <alignment horizontal="right"/>
    </xf>
    <xf numFmtId="171" fontId="27" fillId="0" borderId="9" xfId="13" applyNumberFormat="1" applyFont="1" applyFill="1" applyBorder="1" applyAlignment="1">
      <alignment horizontal="right"/>
    </xf>
    <xf numFmtId="171" fontId="20" fillId="0" borderId="47" xfId="13" applyNumberFormat="1" applyFont="1" applyBorder="1"/>
    <xf numFmtId="49" fontId="20" fillId="8" borderId="10" xfId="13" applyNumberFormat="1" applyFont="1" applyFill="1" applyBorder="1" applyAlignment="1">
      <alignment horizontal="center" wrapText="1" shrinkToFit="1"/>
    </xf>
    <xf numFmtId="49" fontId="20" fillId="12" borderId="10" xfId="13" applyNumberFormat="1" applyFont="1" applyFill="1" applyBorder="1" applyAlignment="1">
      <alignment horizontal="center" wrapText="1" shrinkToFit="1"/>
    </xf>
    <xf numFmtId="49" fontId="27" fillId="0" borderId="10" xfId="13" applyNumberFormat="1" applyFont="1" applyBorder="1" applyAlignment="1">
      <alignment horizontal="left" wrapText="1" shrinkToFit="1"/>
    </xf>
    <xf numFmtId="49" fontId="20" fillId="7" borderId="10" xfId="13" applyNumberFormat="1" applyFont="1" applyFill="1" applyBorder="1" applyAlignment="1">
      <alignment horizontal="center" wrapText="1" shrinkToFit="1"/>
    </xf>
    <xf numFmtId="49" fontId="20" fillId="0" borderId="10" xfId="13" applyNumberFormat="1" applyFont="1" applyBorder="1" applyAlignment="1">
      <alignment horizontal="center" wrapText="1" shrinkToFit="1"/>
    </xf>
    <xf numFmtId="49" fontId="20" fillId="0" borderId="10" xfId="13" applyNumberFormat="1" applyFont="1" applyFill="1" applyBorder="1" applyAlignment="1">
      <alignment horizontal="center" wrapText="1" shrinkToFit="1"/>
    </xf>
    <xf numFmtId="0" fontId="20" fillId="7" borderId="10" xfId="13" applyFont="1" applyFill="1" applyBorder="1" applyAlignment="1">
      <alignment horizontal="center"/>
    </xf>
    <xf numFmtId="0" fontId="20" fillId="0" borderId="10" xfId="13" applyFont="1" applyBorder="1" applyAlignment="1">
      <alignment horizontal="center"/>
    </xf>
    <xf numFmtId="176" fontId="27" fillId="0" borderId="10" xfId="14" applyNumberFormat="1" applyFont="1" applyBorder="1" applyAlignment="1">
      <alignment wrapText="1"/>
    </xf>
    <xf numFmtId="0" fontId="27" fillId="0" borderId="10" xfId="14" applyFont="1" applyBorder="1" applyAlignment="1">
      <alignment wrapText="1"/>
    </xf>
    <xf numFmtId="0" fontId="20" fillId="8" borderId="10" xfId="13" applyFont="1" applyFill="1" applyBorder="1" applyAlignment="1">
      <alignment horizontal="center"/>
    </xf>
    <xf numFmtId="4" fontId="20" fillId="7" borderId="10" xfId="13" applyNumberFormat="1" applyFont="1" applyFill="1" applyBorder="1" applyAlignment="1">
      <alignment horizontal="center"/>
    </xf>
    <xf numFmtId="4" fontId="20" fillId="0" borderId="10" xfId="13" applyNumberFormat="1" applyFont="1" applyBorder="1" applyAlignment="1">
      <alignment horizontal="center"/>
    </xf>
    <xf numFmtId="49" fontId="27" fillId="0" borderId="10" xfId="13" applyNumberFormat="1" applyFont="1" applyBorder="1" applyAlignment="1">
      <alignment wrapText="1" shrinkToFit="1"/>
    </xf>
    <xf numFmtId="49" fontId="27" fillId="0" borderId="10" xfId="13" applyNumberFormat="1" applyFont="1" applyBorder="1" applyAlignment="1">
      <alignment horizontal="center" wrapText="1" shrinkToFit="1"/>
    </xf>
    <xf numFmtId="49" fontId="27" fillId="0" borderId="10" xfId="13" applyNumberFormat="1" applyFont="1" applyFill="1" applyBorder="1" applyAlignment="1">
      <alignment horizontal="left" wrapText="1" shrinkToFit="1"/>
    </xf>
    <xf numFmtId="0" fontId="20" fillId="0" borderId="21" xfId="13" applyFont="1" applyBorder="1" applyAlignment="1">
      <alignment horizontal="center"/>
    </xf>
    <xf numFmtId="49" fontId="1" fillId="0" borderId="24" xfId="13" applyNumberFormat="1" applyFont="1" applyFill="1" applyBorder="1" applyAlignment="1">
      <alignment horizontal="center" vertical="center" wrapText="1" shrinkToFit="1"/>
    </xf>
    <xf numFmtId="0" fontId="3" fillId="0" borderId="25" xfId="13" applyFont="1" applyBorder="1" applyAlignment="1"/>
    <xf numFmtId="0" fontId="0" fillId="0" borderId="0" xfId="13" applyFont="1"/>
    <xf numFmtId="0" fontId="4" fillId="0" borderId="0" xfId="0" applyFont="1"/>
    <xf numFmtId="0" fontId="4" fillId="0" borderId="0" xfId="0" applyFont="1" applyAlignment="1">
      <alignment horizontal="right"/>
    </xf>
    <xf numFmtId="166" fontId="4" fillId="0" borderId="0" xfId="0" applyNumberFormat="1" applyFont="1"/>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166" fontId="4" fillId="0" borderId="41" xfId="0" applyNumberFormat="1" applyFont="1" applyBorder="1"/>
    <xf numFmtId="170" fontId="4" fillId="0" borderId="41" xfId="0" applyNumberFormat="1" applyFont="1" applyBorder="1"/>
    <xf numFmtId="170" fontId="4" fillId="0" borderId="42" xfId="0" applyNumberFormat="1" applyFont="1" applyBorder="1"/>
    <xf numFmtId="170" fontId="4" fillId="0" borderId="41" xfId="0" applyNumberFormat="1" applyFont="1" applyBorder="1" applyAlignment="1">
      <alignment horizontal="center"/>
    </xf>
    <xf numFmtId="170" fontId="4" fillId="0" borderId="42" xfId="0" applyNumberFormat="1" applyFont="1" applyBorder="1" applyAlignment="1">
      <alignment horizontal="center"/>
    </xf>
    <xf numFmtId="166" fontId="4" fillId="0" borderId="44" xfId="0" applyNumberFormat="1" applyFont="1" applyBorder="1"/>
    <xf numFmtId="170" fontId="4" fillId="0" borderId="44" xfId="0" applyNumberFormat="1" applyFont="1" applyBorder="1"/>
    <xf numFmtId="170" fontId="4" fillId="0" borderId="45" xfId="0" applyNumberFormat="1" applyFont="1" applyBorder="1"/>
    <xf numFmtId="176" fontId="20" fillId="0" borderId="6" xfId="13" applyNumberFormat="1" applyFont="1" applyFill="1" applyBorder="1" applyAlignment="1">
      <alignment horizontal="center"/>
    </xf>
    <xf numFmtId="49" fontId="0" fillId="0" borderId="7" xfId="13" applyNumberFormat="1" applyFont="1" applyBorder="1" applyAlignment="1">
      <alignment wrapText="1" shrinkToFit="1"/>
    </xf>
    <xf numFmtId="49" fontId="27" fillId="13" borderId="10" xfId="13" applyNumberFormat="1" applyFont="1" applyFill="1" applyBorder="1" applyAlignment="1">
      <alignment horizontal="left" wrapText="1" shrinkToFit="1"/>
    </xf>
    <xf numFmtId="164" fontId="1" fillId="0" borderId="0" xfId="3" applyNumberFormat="1" applyFont="1" applyFill="1" applyAlignment="1">
      <alignment vertical="top" wrapText="1"/>
    </xf>
    <xf numFmtId="164" fontId="1" fillId="0" borderId="0" xfId="3" applyNumberFormat="1" applyFont="1" applyFill="1" applyAlignment="1">
      <alignment horizontal="center" vertical="top" wrapText="1"/>
    </xf>
    <xf numFmtId="171" fontId="1" fillId="0" borderId="0" xfId="3" applyNumberFormat="1" applyFont="1" applyFill="1" applyAlignment="1">
      <alignment vertical="top" wrapText="1"/>
    </xf>
    <xf numFmtId="164" fontId="1" fillId="0" borderId="0" xfId="3" applyNumberFormat="1" applyFont="1" applyFill="1" applyAlignment="1">
      <alignment horizontal="right" vertical="top"/>
    </xf>
    <xf numFmtId="49" fontId="1" fillId="0" borderId="0" xfId="3" applyNumberFormat="1" applyFont="1" applyFill="1" applyAlignment="1">
      <alignment horizontal="center" vertical="center" wrapText="1"/>
    </xf>
    <xf numFmtId="0" fontId="44" fillId="0" borderId="0" xfId="3" applyNumberFormat="1" applyFont="1" applyFill="1" applyBorder="1" applyAlignment="1">
      <alignment horizontal="center" vertical="top" wrapText="1"/>
    </xf>
    <xf numFmtId="171" fontId="44" fillId="0" borderId="0" xfId="3" applyNumberFormat="1" applyFont="1" applyFill="1" applyBorder="1" applyAlignment="1">
      <alignment horizontal="center" vertical="top" wrapText="1"/>
    </xf>
    <xf numFmtId="0" fontId="17" fillId="0" borderId="0" xfId="3" applyNumberFormat="1" applyFont="1" applyFill="1" applyBorder="1" applyAlignment="1">
      <alignment horizontal="center" vertical="top" wrapText="1"/>
    </xf>
    <xf numFmtId="171" fontId="41" fillId="0" borderId="3" xfId="3" applyNumberFormat="1" applyFont="1" applyFill="1" applyBorder="1" applyAlignment="1">
      <alignment horizontal="center" vertical="top" wrapText="1"/>
    </xf>
    <xf numFmtId="49" fontId="8" fillId="0" borderId="6" xfId="3" applyNumberFormat="1" applyFont="1" applyFill="1" applyBorder="1" applyAlignment="1">
      <alignment horizontal="center" vertical="center" wrapText="1"/>
    </xf>
    <xf numFmtId="0" fontId="41" fillId="0" borderId="5" xfId="3" applyNumberFormat="1" applyFont="1" applyFill="1" applyBorder="1" applyAlignment="1">
      <alignment horizontal="center" vertical="center" wrapText="1"/>
    </xf>
    <xf numFmtId="175" fontId="41" fillId="0" borderId="6" xfId="3" applyNumberFormat="1" applyFont="1" applyFill="1" applyBorder="1" applyAlignment="1">
      <alignment horizontal="center" vertical="center" wrapText="1"/>
    </xf>
    <xf numFmtId="171" fontId="41" fillId="0" borderId="6" xfId="3" applyNumberFormat="1" applyFont="1" applyFill="1" applyBorder="1" applyAlignment="1">
      <alignment horizontal="right" vertical="center" wrapText="1"/>
    </xf>
    <xf numFmtId="0" fontId="41" fillId="0" borderId="6" xfId="3" applyNumberFormat="1" applyFont="1" applyFill="1" applyBorder="1" applyAlignment="1">
      <alignment horizontal="center" vertical="center" wrapText="1"/>
    </xf>
    <xf numFmtId="171" fontId="41" fillId="0" borderId="6" xfId="3" applyNumberFormat="1" applyFont="1" applyFill="1" applyBorder="1" applyAlignment="1">
      <alignment horizontal="center" vertical="center" wrapText="1"/>
    </xf>
    <xf numFmtId="49" fontId="1" fillId="0" borderId="10" xfId="3" applyNumberFormat="1" applyFont="1" applyFill="1" applyBorder="1" applyAlignment="1">
      <alignment horizontal="center" vertical="center" wrapText="1"/>
    </xf>
    <xf numFmtId="49" fontId="3" fillId="0" borderId="10" xfId="3" applyNumberFormat="1" applyFont="1" applyFill="1" applyBorder="1" applyAlignment="1">
      <alignment horizontal="center" vertical="center" wrapText="1"/>
    </xf>
    <xf numFmtId="0" fontId="41" fillId="0" borderId="5" xfId="3" applyNumberFormat="1" applyFont="1" applyFill="1" applyBorder="1" applyAlignment="1">
      <alignment vertical="center" wrapText="1"/>
    </xf>
    <xf numFmtId="0" fontId="17" fillId="0" borderId="5" xfId="3" applyNumberFormat="1" applyFont="1" applyFill="1" applyBorder="1" applyAlignment="1">
      <alignment vertical="center" wrapText="1"/>
    </xf>
    <xf numFmtId="175" fontId="17" fillId="0" borderId="6" xfId="3" applyNumberFormat="1" applyFont="1" applyFill="1" applyBorder="1" applyAlignment="1">
      <alignment horizontal="center" vertical="center" wrapText="1"/>
    </xf>
    <xf numFmtId="171" fontId="17" fillId="0" borderId="6" xfId="3" applyNumberFormat="1" applyFont="1" applyFill="1" applyBorder="1" applyAlignment="1">
      <alignment horizontal="right" vertical="center" wrapText="1"/>
    </xf>
    <xf numFmtId="171" fontId="17" fillId="13" borderId="6" xfId="3" applyNumberFormat="1" applyFont="1" applyFill="1" applyBorder="1" applyAlignment="1">
      <alignment horizontal="right" vertical="center" wrapText="1"/>
    </xf>
    <xf numFmtId="171" fontId="17" fillId="0" borderId="6" xfId="3" applyNumberFormat="1" applyFont="1" applyFill="1" applyBorder="1" applyAlignment="1">
      <alignment vertical="center" wrapText="1"/>
    </xf>
    <xf numFmtId="180" fontId="1" fillId="0" borderId="0" xfId="3" applyNumberFormat="1" applyFont="1" applyFill="1" applyAlignment="1">
      <alignment vertical="top" wrapText="1"/>
    </xf>
    <xf numFmtId="0" fontId="17" fillId="18" borderId="5" xfId="3" applyNumberFormat="1" applyFont="1" applyFill="1" applyBorder="1" applyAlignment="1">
      <alignment vertical="center" wrapText="1"/>
    </xf>
    <xf numFmtId="175" fontId="17" fillId="18" borderId="6" xfId="3" applyNumberFormat="1" applyFont="1" applyFill="1" applyBorder="1" applyAlignment="1">
      <alignment horizontal="center" vertical="center" wrapText="1"/>
    </xf>
    <xf numFmtId="171" fontId="17" fillId="18" borderId="6" xfId="3" applyNumberFormat="1" applyFont="1" applyFill="1" applyBorder="1" applyAlignment="1">
      <alignment horizontal="right" vertical="center" wrapText="1"/>
    </xf>
    <xf numFmtId="171" fontId="17" fillId="18" borderId="6" xfId="3" applyNumberFormat="1" applyFont="1" applyFill="1" applyBorder="1" applyAlignment="1">
      <alignment vertical="center" wrapText="1"/>
    </xf>
    <xf numFmtId="49" fontId="1" fillId="18" borderId="10" xfId="3" applyNumberFormat="1" applyFont="1" applyFill="1" applyBorder="1" applyAlignment="1">
      <alignment horizontal="center" vertical="center" wrapText="1"/>
    </xf>
    <xf numFmtId="0" fontId="46" fillId="0" borderId="5" xfId="3" applyNumberFormat="1" applyFont="1" applyFill="1" applyBorder="1" applyAlignment="1">
      <alignment horizontal="right" vertical="center" wrapText="1"/>
    </xf>
    <xf numFmtId="175" fontId="46" fillId="0" borderId="6" xfId="3" applyNumberFormat="1" applyFont="1" applyFill="1" applyBorder="1" applyAlignment="1">
      <alignment horizontal="center" vertical="center" wrapText="1"/>
    </xf>
    <xf numFmtId="171" fontId="46" fillId="0" borderId="6" xfId="3" applyNumberFormat="1" applyFont="1" applyFill="1" applyBorder="1" applyAlignment="1">
      <alignment horizontal="right" vertical="center" wrapText="1"/>
    </xf>
    <xf numFmtId="171" fontId="47" fillId="13" borderId="6" xfId="3" applyNumberFormat="1" applyFont="1" applyFill="1" applyBorder="1" applyAlignment="1">
      <alignment horizontal="right" vertical="center" wrapText="1"/>
    </xf>
    <xf numFmtId="171" fontId="47" fillId="0" borderId="6" xfId="3" applyNumberFormat="1" applyFont="1" applyFill="1" applyBorder="1" applyAlignment="1">
      <alignment horizontal="right" vertical="center" wrapText="1"/>
    </xf>
    <xf numFmtId="171" fontId="46" fillId="13" borderId="6" xfId="3" applyNumberFormat="1" applyFont="1" applyFill="1" applyBorder="1" applyAlignment="1">
      <alignment horizontal="right" vertical="center" wrapText="1"/>
    </xf>
    <xf numFmtId="49" fontId="27" fillId="0" borderId="10" xfId="3" applyNumberFormat="1" applyFont="1" applyFill="1" applyBorder="1" applyAlignment="1">
      <alignment horizontal="center" vertical="center" wrapText="1"/>
    </xf>
    <xf numFmtId="171" fontId="47" fillId="18" borderId="6" xfId="3" applyNumberFormat="1" applyFont="1" applyFill="1" applyBorder="1" applyAlignment="1">
      <alignment horizontal="right" vertical="center" wrapText="1"/>
    </xf>
    <xf numFmtId="0" fontId="17" fillId="18" borderId="5" xfId="3" applyNumberFormat="1" applyFont="1" applyFill="1" applyBorder="1" applyAlignment="1">
      <alignment horizontal="left" vertical="center" wrapText="1"/>
    </xf>
    <xf numFmtId="175" fontId="48" fillId="18" borderId="6" xfId="3" applyNumberFormat="1" applyFont="1" applyFill="1" applyBorder="1" applyAlignment="1">
      <alignment horizontal="center" vertical="center" wrapText="1"/>
    </xf>
    <xf numFmtId="171" fontId="48" fillId="18" borderId="6" xfId="3" applyNumberFormat="1" applyFont="1" applyFill="1" applyBorder="1" applyAlignment="1">
      <alignment horizontal="right" vertical="center" wrapText="1"/>
    </xf>
    <xf numFmtId="49" fontId="27" fillId="0" borderId="16" xfId="3" applyNumberFormat="1" applyFont="1" applyFill="1" applyBorder="1" applyAlignment="1">
      <alignment horizontal="center" vertical="center" wrapText="1"/>
    </xf>
    <xf numFmtId="49" fontId="1" fillId="0" borderId="16" xfId="3" applyNumberFormat="1" applyFont="1" applyFill="1" applyBorder="1" applyAlignment="1">
      <alignment horizontal="center" vertical="center" wrapText="1"/>
    </xf>
    <xf numFmtId="0" fontId="41" fillId="18" borderId="5" xfId="3" applyNumberFormat="1" applyFont="1" applyFill="1" applyBorder="1" applyAlignment="1">
      <alignment vertical="center" wrapText="1"/>
    </xf>
    <xf numFmtId="175" fontId="41" fillId="18" borderId="6" xfId="3" applyNumberFormat="1" applyFont="1" applyFill="1" applyBorder="1" applyAlignment="1">
      <alignment horizontal="center" vertical="center" wrapText="1"/>
    </xf>
    <xf numFmtId="171" fontId="41" fillId="18" borderId="6" xfId="3" applyNumberFormat="1" applyFont="1" applyFill="1" applyBorder="1" applyAlignment="1">
      <alignment horizontal="right" vertical="center" wrapText="1"/>
    </xf>
    <xf numFmtId="171" fontId="41" fillId="18" borderId="6" xfId="3" applyNumberFormat="1" applyFont="1" applyFill="1" applyBorder="1" applyAlignment="1">
      <alignment vertical="center" wrapText="1"/>
    </xf>
    <xf numFmtId="0" fontId="43" fillId="0" borderId="5" xfId="3" applyNumberFormat="1" applyFont="1" applyFill="1" applyBorder="1" applyAlignment="1">
      <alignment vertical="top" wrapText="1"/>
    </xf>
    <xf numFmtId="175" fontId="43" fillId="0" borderId="6" xfId="3" applyNumberFormat="1" applyFont="1" applyFill="1" applyBorder="1" applyAlignment="1">
      <alignment horizontal="center" vertical="top" wrapText="1"/>
    </xf>
    <xf numFmtId="171" fontId="41" fillId="0" borderId="6" xfId="3" applyNumberFormat="1" applyFont="1" applyFill="1" applyBorder="1" applyAlignment="1">
      <alignment horizontal="right" vertical="top" wrapText="1"/>
    </xf>
    <xf numFmtId="171" fontId="43" fillId="0" borderId="6" xfId="3" applyNumberFormat="1" applyFont="1" applyFill="1" applyBorder="1" applyAlignment="1">
      <alignment vertical="top" wrapText="1"/>
    </xf>
    <xf numFmtId="0" fontId="41" fillId="0" borderId="19" xfId="3" applyNumberFormat="1" applyFont="1" applyFill="1" applyBorder="1" applyAlignment="1">
      <alignment vertical="center" wrapText="1"/>
    </xf>
    <xf numFmtId="175" fontId="41" fillId="0" borderId="20" xfId="3" applyNumberFormat="1" applyFont="1" applyFill="1" applyBorder="1" applyAlignment="1">
      <alignment horizontal="center" vertical="center" wrapText="1"/>
    </xf>
    <xf numFmtId="171" fontId="41" fillId="0" borderId="20" xfId="3" applyNumberFormat="1" applyFont="1" applyFill="1" applyBorder="1" applyAlignment="1">
      <alignment horizontal="right" vertical="center" wrapText="1"/>
    </xf>
    <xf numFmtId="171" fontId="41" fillId="0" borderId="20" xfId="3" applyNumberFormat="1" applyFont="1" applyFill="1" applyBorder="1" applyAlignment="1">
      <alignment vertical="center" wrapText="1"/>
    </xf>
    <xf numFmtId="49" fontId="1" fillId="0" borderId="21" xfId="3" applyNumberFormat="1" applyFont="1" applyFill="1" applyBorder="1" applyAlignment="1">
      <alignment horizontal="center" vertical="center" wrapText="1"/>
    </xf>
    <xf numFmtId="49" fontId="3" fillId="0" borderId="21" xfId="3" applyNumberFormat="1" applyFont="1" applyFill="1" applyBorder="1" applyAlignment="1">
      <alignment horizontal="center" vertical="center" wrapText="1"/>
    </xf>
    <xf numFmtId="166" fontId="1" fillId="0" borderId="0" xfId="3" applyNumberFormat="1" applyFont="1" applyFill="1" applyAlignment="1">
      <alignment vertical="center" wrapText="1"/>
    </xf>
    <xf numFmtId="164" fontId="1" fillId="0" borderId="6" xfId="3" applyNumberFormat="1" applyFont="1" applyFill="1" applyBorder="1" applyAlignment="1">
      <alignment vertical="top" wrapText="1"/>
    </xf>
    <xf numFmtId="164" fontId="1" fillId="0" borderId="6" xfId="3" applyNumberFormat="1" applyFont="1" applyFill="1" applyBorder="1" applyAlignment="1">
      <alignment horizontal="center" vertical="top" wrapText="1"/>
    </xf>
    <xf numFmtId="171" fontId="1" fillId="0" borderId="6" xfId="3" applyNumberFormat="1" applyFont="1" applyFill="1" applyBorder="1" applyAlignment="1">
      <alignment vertical="top" wrapText="1"/>
    </xf>
    <xf numFmtId="181" fontId="1" fillId="0" borderId="6" xfId="3" applyNumberFormat="1" applyFont="1" applyFill="1" applyBorder="1" applyAlignment="1">
      <alignment vertical="top" wrapText="1"/>
    </xf>
    <xf numFmtId="0" fontId="49" fillId="13" borderId="0" xfId="0" applyFont="1" applyFill="1" applyAlignment="1">
      <alignment horizontal="center"/>
    </xf>
    <xf numFmtId="0" fontId="49" fillId="13" borderId="0" xfId="0" applyFont="1" applyFill="1" applyAlignment="1">
      <alignment horizontal="center" wrapText="1"/>
    </xf>
    <xf numFmtId="0" fontId="33" fillId="13" borderId="0" xfId="0" applyFont="1" applyFill="1" applyBorder="1" applyAlignment="1">
      <alignment wrapText="1"/>
    </xf>
    <xf numFmtId="0" fontId="49" fillId="13" borderId="0" xfId="0" applyFont="1" applyFill="1" applyBorder="1" applyAlignment="1">
      <alignment wrapText="1"/>
    </xf>
    <xf numFmtId="0" fontId="49" fillId="13" borderId="0" xfId="0" applyFont="1" applyFill="1" applyBorder="1" applyAlignment="1">
      <alignment horizontal="center"/>
    </xf>
    <xf numFmtId="0" fontId="49" fillId="13" borderId="0" xfId="0" applyFont="1" applyFill="1" applyAlignment="1">
      <alignment horizontal="right"/>
    </xf>
    <xf numFmtId="0" fontId="49" fillId="0" borderId="0" xfId="0" applyFont="1" applyFill="1" applyAlignment="1">
      <alignment horizontal="center"/>
    </xf>
    <xf numFmtId="0" fontId="49" fillId="17" borderId="0" xfId="0" applyFont="1" applyFill="1" applyAlignment="1">
      <alignment horizontal="center"/>
    </xf>
    <xf numFmtId="0" fontId="49" fillId="0" borderId="0" xfId="0" applyFont="1" applyFill="1" applyAlignment="1">
      <alignment horizontal="center" vertical="center"/>
    </xf>
    <xf numFmtId="0" fontId="4" fillId="0" borderId="0" xfId="0" applyNumberFormat="1" applyFont="1" applyFill="1" applyBorder="1" applyAlignment="1" applyProtection="1">
      <alignment horizontal="center" vertical="center"/>
    </xf>
    <xf numFmtId="0" fontId="4" fillId="13" borderId="0" xfId="0" applyNumberFormat="1" applyFont="1" applyFill="1" applyBorder="1" applyAlignment="1" applyProtection="1">
      <alignment horizontal="center" vertical="center"/>
    </xf>
    <xf numFmtId="0" fontId="49" fillId="0" borderId="0" xfId="0" applyFont="1" applyFill="1" applyAlignment="1">
      <alignment horizontal="center" wrapText="1"/>
    </xf>
    <xf numFmtId="49" fontId="49" fillId="13" borderId="0" xfId="0" applyNumberFormat="1" applyFont="1" applyFill="1" applyAlignment="1">
      <alignment horizontal="center" vertical="top"/>
    </xf>
    <xf numFmtId="0" fontId="49" fillId="13" borderId="0" xfId="0" applyFont="1" applyFill="1" applyAlignment="1">
      <alignment horizontal="center" vertical="top"/>
    </xf>
    <xf numFmtId="0" fontId="1" fillId="13" borderId="40" xfId="0" applyFont="1" applyFill="1" applyBorder="1" applyAlignment="1">
      <alignment horizontal="center" vertical="top" wrapText="1"/>
    </xf>
    <xf numFmtId="0" fontId="1" fillId="13" borderId="41" xfId="0" applyFont="1" applyFill="1" applyBorder="1" applyAlignment="1">
      <alignment horizontal="left" vertical="top" wrapText="1"/>
    </xf>
    <xf numFmtId="49" fontId="4" fillId="0" borderId="40" xfId="0" applyNumberFormat="1" applyFont="1" applyFill="1" applyBorder="1" applyAlignment="1">
      <alignment horizontal="center" vertical="top" wrapText="1"/>
    </xf>
    <xf numFmtId="11" fontId="4" fillId="0" borderId="41" xfId="0" applyNumberFormat="1" applyFont="1" applyFill="1" applyBorder="1" applyAlignment="1">
      <alignment horizontal="left" vertical="top" wrapText="1"/>
    </xf>
    <xf numFmtId="11" fontId="4" fillId="0" borderId="41" xfId="0" applyNumberFormat="1" applyFont="1" applyFill="1" applyBorder="1" applyAlignment="1">
      <alignment vertical="top" wrapText="1"/>
    </xf>
    <xf numFmtId="49" fontId="1" fillId="13" borderId="40" xfId="0" applyNumberFormat="1" applyFont="1" applyFill="1" applyBorder="1" applyAlignment="1">
      <alignment horizontal="center" vertical="top" wrapText="1"/>
    </xf>
    <xf numFmtId="49" fontId="1" fillId="13" borderId="41" xfId="0" applyNumberFormat="1" applyFont="1" applyFill="1" applyBorder="1" applyAlignment="1">
      <alignment horizontal="left" vertical="top" wrapText="1"/>
    </xf>
    <xf numFmtId="49" fontId="1" fillId="13" borderId="40" xfId="0" applyNumberFormat="1" applyFont="1" applyFill="1" applyBorder="1" applyAlignment="1">
      <alignment horizontal="left" vertical="top" wrapText="1"/>
    </xf>
    <xf numFmtId="49" fontId="1" fillId="13" borderId="40" xfId="0" applyNumberFormat="1" applyFont="1" applyFill="1" applyBorder="1" applyAlignment="1">
      <alignment horizontal="center" vertical="top"/>
    </xf>
    <xf numFmtId="0" fontId="1" fillId="13" borderId="41" xfId="0" applyFont="1" applyFill="1" applyBorder="1" applyAlignment="1">
      <alignment horizontal="center" vertical="top" wrapText="1"/>
    </xf>
    <xf numFmtId="0" fontId="1" fillId="13" borderId="41" xfId="0" applyFont="1" applyFill="1" applyBorder="1" applyAlignment="1">
      <alignment vertical="top" wrapText="1"/>
    </xf>
    <xf numFmtId="49" fontId="1" fillId="13" borderId="40" xfId="0" applyNumberFormat="1" applyFont="1" applyFill="1" applyBorder="1" applyAlignment="1">
      <alignment vertical="top"/>
    </xf>
    <xf numFmtId="49" fontId="1" fillId="13" borderId="40" xfId="0" applyNumberFormat="1" applyFont="1" applyFill="1" applyBorder="1" applyAlignment="1">
      <alignment horizontal="left" vertical="top"/>
    </xf>
    <xf numFmtId="0" fontId="0" fillId="0" borderId="40" xfId="0" applyBorder="1" applyAlignment="1">
      <alignment horizontal="center" vertical="top" wrapText="1"/>
    </xf>
    <xf numFmtId="0" fontId="1" fillId="0" borderId="41" xfId="0" applyFont="1" applyBorder="1" applyAlignment="1">
      <alignment horizontal="left" vertical="top" wrapText="1"/>
    </xf>
    <xf numFmtId="0" fontId="1" fillId="0" borderId="40" xfId="0" applyFont="1" applyBorder="1" applyAlignment="1">
      <alignment horizontal="center" vertical="top" wrapText="1"/>
    </xf>
    <xf numFmtId="49" fontId="1" fillId="0" borderId="40" xfId="0" applyNumberFormat="1" applyFont="1" applyFill="1" applyBorder="1" applyAlignment="1">
      <alignment horizontal="center" vertical="top" wrapText="1"/>
    </xf>
    <xf numFmtId="0" fontId="1" fillId="0" borderId="41" xfId="0" applyFont="1" applyFill="1" applyBorder="1" applyAlignment="1">
      <alignment horizontal="left" vertical="top" wrapText="1"/>
    </xf>
    <xf numFmtId="0" fontId="1" fillId="0" borderId="40" xfId="0" applyFont="1" applyBorder="1" applyAlignment="1">
      <alignment horizontal="center" vertical="top"/>
    </xf>
    <xf numFmtId="0" fontId="1" fillId="0" borderId="41" xfId="0" applyFont="1" applyFill="1" applyBorder="1" applyAlignment="1">
      <alignment horizontal="left" vertical="top" wrapText="1"/>
    </xf>
    <xf numFmtId="49" fontId="1" fillId="0" borderId="40" xfId="0" applyNumberFormat="1" applyFont="1" applyFill="1" applyBorder="1" applyAlignment="1">
      <alignment horizontal="center" vertical="top"/>
    </xf>
    <xf numFmtId="0" fontId="38" fillId="13" borderId="40" xfId="0" applyFont="1" applyFill="1" applyBorder="1" applyAlignment="1">
      <alignment horizontal="center" vertical="top" wrapText="1"/>
    </xf>
    <xf numFmtId="0" fontId="38" fillId="13" borderId="41" xfId="0" applyFont="1" applyFill="1" applyBorder="1" applyAlignment="1">
      <alignment horizontal="left" vertical="top" wrapText="1"/>
    </xf>
    <xf numFmtId="49" fontId="4" fillId="0" borderId="40" xfId="0" applyNumberFormat="1" applyFont="1" applyFill="1" applyBorder="1" applyAlignment="1" applyProtection="1">
      <alignment horizontal="center" vertical="top" wrapText="1"/>
    </xf>
    <xf numFmtId="11" fontId="4" fillId="0" borderId="41" xfId="0" applyNumberFormat="1" applyFont="1" applyFill="1" applyBorder="1" applyAlignment="1" applyProtection="1">
      <alignment horizontal="left" vertical="top" wrapText="1"/>
    </xf>
    <xf numFmtId="0" fontId="1" fillId="0" borderId="40" xfId="0" applyFont="1" applyFill="1" applyBorder="1" applyAlignment="1">
      <alignment horizontal="center" vertical="top" wrapText="1"/>
    </xf>
    <xf numFmtId="49" fontId="1" fillId="13" borderId="41" xfId="0" applyNumberFormat="1" applyFont="1" applyFill="1" applyBorder="1" applyAlignment="1">
      <alignment vertical="top" wrapText="1"/>
    </xf>
    <xf numFmtId="49" fontId="4" fillId="13" borderId="40" xfId="0" applyNumberFormat="1" applyFont="1" applyFill="1" applyBorder="1" applyAlignment="1" applyProtection="1">
      <alignment horizontal="center" vertical="top" wrapText="1"/>
    </xf>
    <xf numFmtId="11" fontId="4" fillId="13" borderId="41" xfId="0" applyNumberFormat="1" applyFont="1" applyFill="1" applyBorder="1" applyAlignment="1" applyProtection="1">
      <alignment horizontal="left" vertical="top" wrapText="1"/>
    </xf>
    <xf numFmtId="49" fontId="1" fillId="0" borderId="41" xfId="0" applyNumberFormat="1" applyFont="1" applyFill="1" applyBorder="1" applyAlignment="1">
      <alignment horizontal="left" vertical="top" wrapText="1"/>
    </xf>
    <xf numFmtId="49" fontId="4" fillId="0" borderId="40" xfId="0" applyNumberFormat="1" applyFont="1" applyFill="1" applyBorder="1" applyAlignment="1" applyProtection="1">
      <alignment horizontal="center" vertical="top" wrapText="1" shrinkToFit="1"/>
    </xf>
    <xf numFmtId="49" fontId="4" fillId="0" borderId="40" xfId="23" applyNumberFormat="1" applyFont="1" applyFill="1" applyBorder="1" applyAlignment="1" applyProtection="1">
      <alignment horizontal="center" vertical="top" wrapText="1"/>
    </xf>
    <xf numFmtId="11" fontId="4" fillId="0" borderId="41" xfId="23" applyNumberFormat="1" applyFont="1" applyFill="1" applyBorder="1" applyAlignment="1" applyProtection="1">
      <alignment horizontal="left" vertical="top" wrapText="1"/>
    </xf>
    <xf numFmtId="49" fontId="51" fillId="13" borderId="40" xfId="0" applyNumberFormat="1" applyFont="1" applyFill="1" applyBorder="1" applyAlignment="1">
      <alignment horizontal="center" vertical="top" wrapText="1"/>
    </xf>
    <xf numFmtId="0" fontId="51" fillId="13" borderId="41" xfId="0" applyFont="1" applyFill="1" applyBorder="1" applyAlignment="1">
      <alignment horizontal="left" vertical="top" wrapText="1"/>
    </xf>
    <xf numFmtId="49" fontId="51" fillId="13" borderId="43" xfId="0" applyNumberFormat="1" applyFont="1" applyFill="1" applyBorder="1" applyAlignment="1">
      <alignment horizontal="center" vertical="top" wrapText="1"/>
    </xf>
    <xf numFmtId="0" fontId="51" fillId="13" borderId="44" xfId="0" applyFont="1" applyFill="1" applyBorder="1" applyAlignment="1">
      <alignment horizontal="left" vertical="top" wrapText="1"/>
    </xf>
    <xf numFmtId="0" fontId="49" fillId="13" borderId="0" xfId="0" applyFont="1" applyFill="1" applyAlignment="1">
      <alignment horizontal="left" vertical="top" wrapText="1"/>
    </xf>
    <xf numFmtId="11" fontId="4" fillId="0" borderId="41" xfId="21" applyNumberFormat="1" applyFont="1" applyFill="1" applyBorder="1" applyAlignment="1">
      <alignment horizontal="left" vertical="top" wrapText="1"/>
    </xf>
    <xf numFmtId="49" fontId="4" fillId="0" borderId="41" xfId="0" applyNumberFormat="1" applyFont="1" applyFill="1" applyBorder="1" applyAlignment="1">
      <alignment horizontal="center" vertical="top" wrapText="1"/>
    </xf>
    <xf numFmtId="4" fontId="1" fillId="13" borderId="41" xfId="0" applyNumberFormat="1" applyFont="1" applyFill="1" applyBorder="1" applyAlignment="1">
      <alignment horizontal="center" vertical="top"/>
    </xf>
    <xf numFmtId="0" fontId="49" fillId="13" borderId="0" xfId="0" applyFont="1" applyFill="1" applyAlignment="1">
      <alignment vertical="top" wrapText="1"/>
    </xf>
    <xf numFmtId="0" fontId="1" fillId="13" borderId="42" xfId="0" applyFont="1" applyFill="1" applyBorder="1" applyAlignment="1">
      <alignment vertical="top" wrapText="1"/>
    </xf>
    <xf numFmtId="0" fontId="1" fillId="13" borderId="42" xfId="0" applyFont="1" applyFill="1" applyBorder="1" applyAlignment="1">
      <alignment wrapText="1"/>
    </xf>
    <xf numFmtId="49" fontId="1" fillId="13" borderId="42" xfId="0" applyNumberFormat="1" applyFont="1" applyFill="1" applyBorder="1" applyAlignment="1">
      <alignment vertical="top" wrapText="1"/>
    </xf>
    <xf numFmtId="49" fontId="1" fillId="0" borderId="42" xfId="0" applyNumberFormat="1" applyFont="1" applyFill="1" applyBorder="1" applyAlignment="1">
      <alignment vertical="top" wrapText="1"/>
    </xf>
    <xf numFmtId="0" fontId="1" fillId="0" borderId="42" xfId="0" applyFont="1" applyFill="1" applyBorder="1" applyAlignment="1">
      <alignment vertical="top" wrapText="1"/>
    </xf>
    <xf numFmtId="0" fontId="1" fillId="0" borderId="42" xfId="0" applyFont="1" applyBorder="1" applyAlignment="1">
      <alignment vertical="top" wrapText="1"/>
    </xf>
    <xf numFmtId="0" fontId="4" fillId="0" borderId="42" xfId="0" applyNumberFormat="1" applyFont="1" applyFill="1" applyBorder="1" applyAlignment="1" applyProtection="1">
      <alignment vertical="top" wrapText="1"/>
    </xf>
    <xf numFmtId="0" fontId="4" fillId="13" borderId="42" xfId="0" applyNumberFormat="1" applyFont="1" applyFill="1" applyBorder="1" applyAlignment="1" applyProtection="1">
      <alignment vertical="top"/>
    </xf>
    <xf numFmtId="0" fontId="51" fillId="13" borderId="42" xfId="0" applyFont="1" applyFill="1" applyBorder="1" applyAlignment="1">
      <alignment vertical="top" wrapText="1"/>
    </xf>
    <xf numFmtId="0" fontId="51" fillId="13" borderId="45" xfId="0" applyFont="1" applyFill="1" applyBorder="1" applyAlignment="1">
      <alignment vertical="top" wrapText="1"/>
    </xf>
    <xf numFmtId="177" fontId="4" fillId="13" borderId="41" xfId="22" applyNumberFormat="1" applyFont="1" applyFill="1" applyBorder="1" applyAlignment="1">
      <alignment horizontal="center" vertical="top" wrapText="1"/>
    </xf>
    <xf numFmtId="49" fontId="1" fillId="13" borderId="41" xfId="0" applyNumberFormat="1" applyFont="1" applyFill="1" applyBorder="1" applyAlignment="1">
      <alignment horizontal="center" vertical="top" wrapText="1"/>
    </xf>
    <xf numFmtId="0" fontId="1" fillId="13" borderId="41" xfId="0" applyFont="1" applyFill="1" applyBorder="1" applyAlignment="1">
      <alignment horizontal="center" vertical="top"/>
    </xf>
    <xf numFmtId="49" fontId="4" fillId="0" borderId="41" xfId="21" applyNumberFormat="1" applyFont="1" applyFill="1" applyBorder="1" applyAlignment="1">
      <alignment horizontal="center" vertical="top" wrapText="1"/>
    </xf>
    <xf numFmtId="0" fontId="1" fillId="0" borderId="41" xfId="0" applyFont="1" applyFill="1" applyBorder="1" applyAlignment="1">
      <alignment vertical="top" wrapText="1"/>
    </xf>
    <xf numFmtId="0" fontId="1" fillId="0" borderId="41" xfId="0" applyFont="1" applyFill="1" applyBorder="1" applyAlignment="1">
      <alignment horizontal="center" vertical="top" wrapText="1"/>
    </xf>
    <xf numFmtId="0" fontId="1" fillId="0" borderId="41" xfId="0" applyFont="1" applyFill="1" applyBorder="1" applyAlignment="1">
      <alignment horizontal="center" vertical="top"/>
    </xf>
    <xf numFmtId="0" fontId="38" fillId="13" borderId="41" xfId="0" applyFont="1" applyFill="1" applyBorder="1" applyAlignment="1">
      <alignment horizontal="center" vertical="top" wrapText="1"/>
    </xf>
    <xf numFmtId="0" fontId="38" fillId="13" borderId="41" xfId="0" applyFont="1" applyFill="1" applyBorder="1" applyAlignment="1">
      <alignment horizontal="center" vertical="top"/>
    </xf>
    <xf numFmtId="49" fontId="4" fillId="0" borderId="41" xfId="0" applyNumberFormat="1" applyFont="1" applyFill="1" applyBorder="1" applyAlignment="1" applyProtection="1">
      <alignment horizontal="center" vertical="top" wrapText="1"/>
    </xf>
    <xf numFmtId="49" fontId="1" fillId="0" borderId="41" xfId="0" applyNumberFormat="1" applyFont="1" applyFill="1" applyBorder="1" applyAlignment="1">
      <alignment horizontal="center" vertical="top"/>
    </xf>
    <xf numFmtId="49" fontId="4" fillId="13" borderId="41" xfId="0" applyNumberFormat="1" applyFont="1" applyFill="1" applyBorder="1" applyAlignment="1" applyProtection="1">
      <alignment horizontal="right" vertical="top" wrapText="1"/>
    </xf>
    <xf numFmtId="49" fontId="4" fillId="0" borderId="41" xfId="23" applyNumberFormat="1" applyFont="1" applyFill="1" applyBorder="1" applyAlignment="1" applyProtection="1">
      <alignment horizontal="center" vertical="top" wrapText="1"/>
    </xf>
    <xf numFmtId="0" fontId="51" fillId="13" borderId="41" xfId="0" applyFont="1" applyFill="1" applyBorder="1" applyAlignment="1">
      <alignment horizontal="center" vertical="top" wrapText="1"/>
    </xf>
    <xf numFmtId="0" fontId="51" fillId="13" borderId="44" xfId="0" applyFont="1" applyFill="1" applyBorder="1" applyAlignment="1">
      <alignment horizontal="center" vertical="top" wrapText="1"/>
    </xf>
    <xf numFmtId="0" fontId="1" fillId="13" borderId="41" xfId="0" applyNumberFormat="1" applyFont="1" applyFill="1" applyBorder="1" applyAlignment="1">
      <alignment horizontal="center" vertical="top" wrapText="1"/>
    </xf>
    <xf numFmtId="0" fontId="0" fillId="13" borderId="42" xfId="0" applyFont="1" applyFill="1" applyBorder="1" applyAlignment="1">
      <alignment vertical="top" wrapText="1"/>
    </xf>
    <xf numFmtId="0" fontId="0" fillId="13" borderId="41" xfId="0" applyFont="1" applyFill="1" applyBorder="1" applyAlignment="1">
      <alignment horizontal="left" vertical="top" wrapText="1"/>
    </xf>
    <xf numFmtId="0" fontId="0" fillId="13" borderId="42" xfId="0" applyFont="1" applyFill="1" applyBorder="1" applyAlignment="1">
      <alignment vertical="top" wrapText="1"/>
    </xf>
    <xf numFmtId="49" fontId="0" fillId="0" borderId="41" xfId="0" applyNumberFormat="1" applyFont="1" applyFill="1" applyBorder="1" applyAlignment="1">
      <alignment horizontal="left" vertical="top" wrapText="1"/>
    </xf>
    <xf numFmtId="164" fontId="0" fillId="13" borderId="0" xfId="21" applyNumberFormat="1" applyFont="1" applyFill="1" applyAlignment="1">
      <alignment horizontal="right" vertical="top" wrapText="1"/>
    </xf>
    <xf numFmtId="4" fontId="0" fillId="0" borderId="0" xfId="13" applyNumberFormat="1" applyFont="1" applyAlignment="1">
      <alignment horizontal="right"/>
    </xf>
    <xf numFmtId="171" fontId="0" fillId="0" borderId="0" xfId="13" applyNumberFormat="1" applyFont="1" applyAlignment="1">
      <alignment horizontal="right"/>
    </xf>
    <xf numFmtId="164" fontId="0" fillId="0" borderId="0" xfId="3" applyNumberFormat="1" applyFont="1" applyFill="1" applyAlignment="1">
      <alignment horizontal="right" vertical="top"/>
    </xf>
    <xf numFmtId="0" fontId="0" fillId="0" borderId="42" xfId="0" applyFont="1" applyFill="1" applyBorder="1" applyAlignment="1">
      <alignment vertical="top" wrapText="1"/>
    </xf>
    <xf numFmtId="0" fontId="0" fillId="0" borderId="41" xfId="0" applyFont="1" applyFill="1" applyBorder="1" applyAlignment="1">
      <alignment horizontal="left" vertical="top" wrapText="1"/>
    </xf>
    <xf numFmtId="49" fontId="0" fillId="13" borderId="42" xfId="0" applyNumberFormat="1" applyFont="1" applyFill="1" applyBorder="1" applyAlignment="1">
      <alignment vertical="top" wrapText="1"/>
    </xf>
    <xf numFmtId="0" fontId="4" fillId="0" borderId="0" xfId="0" applyFont="1" applyFill="1"/>
    <xf numFmtId="0" fontId="4" fillId="0" borderId="40" xfId="0" applyFont="1" applyFill="1" applyBorder="1" applyAlignment="1">
      <alignment wrapText="1"/>
    </xf>
    <xf numFmtId="0" fontId="4" fillId="0" borderId="40" xfId="0" applyFont="1" applyFill="1" applyBorder="1" applyAlignment="1">
      <alignment horizontal="left" wrapText="1" indent="1"/>
    </xf>
    <xf numFmtId="0" fontId="4" fillId="0" borderId="40" xfId="0" applyFont="1" applyFill="1" applyBorder="1" applyAlignment="1">
      <alignment horizontal="center" wrapText="1"/>
    </xf>
    <xf numFmtId="0" fontId="8" fillId="0" borderId="43" xfId="0" applyFont="1" applyFill="1" applyBorder="1" applyAlignment="1">
      <alignment wrapText="1"/>
    </xf>
    <xf numFmtId="0" fontId="4" fillId="0" borderId="41" xfId="0" applyFont="1" applyFill="1" applyBorder="1" applyAlignment="1">
      <alignment horizontal="center"/>
    </xf>
    <xf numFmtId="49" fontId="4" fillId="0" borderId="41" xfId="0" applyNumberFormat="1" applyFont="1" applyFill="1" applyBorder="1" applyAlignment="1">
      <alignment horizontal="center"/>
    </xf>
    <xf numFmtId="0" fontId="8" fillId="0" borderId="44" xfId="0" applyFont="1" applyFill="1" applyBorder="1" applyAlignment="1">
      <alignment horizontal="center"/>
    </xf>
    <xf numFmtId="0" fontId="8" fillId="0" borderId="6"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0" xfId="0"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0" fontId="8" fillId="0" borderId="0" xfId="0" applyFont="1" applyFill="1" applyBorder="1" applyAlignment="1">
      <alignment horizontal="left" vertical="center"/>
    </xf>
    <xf numFmtId="49" fontId="10" fillId="0" borderId="11"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165" fontId="10" fillId="0" borderId="6" xfId="0" applyNumberFormat="1" applyFont="1" applyFill="1" applyBorder="1" applyAlignment="1">
      <alignment horizontal="center" vertical="center" wrapText="1"/>
    </xf>
    <xf numFmtId="165" fontId="8" fillId="0" borderId="6" xfId="0" applyNumberFormat="1" applyFont="1" applyFill="1" applyBorder="1" applyAlignment="1">
      <alignment horizontal="center" vertical="center" wrapText="1"/>
    </xf>
    <xf numFmtId="165" fontId="11" fillId="0" borderId="6"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wrapText="1"/>
    </xf>
    <xf numFmtId="165" fontId="8" fillId="0" borderId="0" xfId="0" applyNumberFormat="1" applyFont="1" applyAlignment="1">
      <alignment horizontal="right" vertical="center" wrapText="1"/>
    </xf>
    <xf numFmtId="0" fontId="5" fillId="0" borderId="0" xfId="0" applyFont="1" applyAlignment="1">
      <alignment horizontal="center" vertical="center" wrapText="1"/>
    </xf>
    <xf numFmtId="165" fontId="8" fillId="7" borderId="6" xfId="0" applyNumberFormat="1" applyFont="1" applyFill="1" applyBorder="1" applyAlignment="1">
      <alignment horizontal="center" vertical="center" wrapText="1"/>
    </xf>
    <xf numFmtId="165" fontId="8" fillId="7" borderId="10"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0" fontId="3" fillId="0" borderId="0" xfId="0" applyFont="1" applyAlignment="1">
      <alignment horizontal="right" vertical="center"/>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8" fillId="0" borderId="0" xfId="0" applyFont="1" applyFill="1" applyAlignment="1">
      <alignment horizontal="center" vertical="center" wrapText="1"/>
    </xf>
    <xf numFmtId="166" fontId="3" fillId="0" borderId="0" xfId="0" applyNumberFormat="1" applyFont="1" applyFill="1" applyAlignment="1">
      <alignment horizontal="right" vertical="center" wrapText="1"/>
    </xf>
    <xf numFmtId="0" fontId="18" fillId="0" borderId="0" xfId="0" applyFont="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0" fillId="0" borderId="1" xfId="0" applyFont="1" applyBorder="1" applyAlignment="1">
      <alignment horizontal="right" vertical="center" wrapText="1"/>
    </xf>
    <xf numFmtId="0" fontId="1" fillId="0" borderId="1" xfId="0" applyFont="1" applyBorder="1" applyAlignment="1">
      <alignment horizontal="right"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right" vertical="center" wrapText="1"/>
    </xf>
    <xf numFmtId="0" fontId="21"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1" xfId="0" applyBorder="1" applyAlignment="1">
      <alignment horizontal="right" vertical="center" wrapText="1"/>
    </xf>
    <xf numFmtId="0" fontId="36" fillId="0" borderId="0" xfId="13" applyFont="1" applyAlignment="1">
      <alignment horizontal="center" wrapText="1"/>
    </xf>
    <xf numFmtId="0" fontId="37" fillId="0" borderId="0" xfId="0" applyFont="1" applyAlignment="1">
      <alignment horizontal="center" wrapText="1"/>
    </xf>
    <xf numFmtId="49" fontId="1" fillId="0" borderId="2" xfId="13" applyNumberFormat="1" applyFont="1" applyFill="1" applyBorder="1" applyAlignment="1">
      <alignment horizontal="center" vertical="center" wrapText="1" shrinkToFit="1"/>
    </xf>
    <xf numFmtId="49" fontId="1" fillId="0" borderId="5" xfId="13" applyNumberFormat="1" applyFont="1" applyFill="1" applyBorder="1" applyAlignment="1">
      <alignment horizontal="center" vertical="center" wrapText="1" shrinkToFit="1"/>
    </xf>
    <xf numFmtId="0" fontId="3" fillId="0" borderId="2" xfId="14" applyFont="1" applyBorder="1" applyAlignment="1">
      <alignment horizontal="center" vertical="center" wrapText="1"/>
    </xf>
    <xf numFmtId="0" fontId="3" fillId="0" borderId="5" xfId="14" applyFont="1" applyBorder="1" applyAlignment="1">
      <alignment horizontal="center" vertical="center" wrapText="1"/>
    </xf>
    <xf numFmtId="171" fontId="3" fillId="13" borderId="3" xfId="14" applyNumberFormat="1" applyFont="1" applyFill="1" applyBorder="1" applyAlignment="1">
      <alignment horizontal="center" vertical="center" wrapText="1"/>
    </xf>
    <xf numFmtId="171" fontId="3" fillId="13" borderId="6" xfId="14" applyNumberFormat="1" applyFont="1" applyFill="1" applyBorder="1" applyAlignment="1">
      <alignment horizontal="center" vertical="center" wrapText="1"/>
    </xf>
    <xf numFmtId="171" fontId="3" fillId="0" borderId="3" xfId="14" applyNumberFormat="1" applyFont="1" applyBorder="1" applyAlignment="1">
      <alignment horizontal="center" vertical="center"/>
    </xf>
    <xf numFmtId="176" fontId="3" fillId="0" borderId="3" xfId="15" applyNumberFormat="1" applyFont="1" applyBorder="1" applyAlignment="1">
      <alignment horizontal="center" vertical="center"/>
    </xf>
    <xf numFmtId="49" fontId="3" fillId="0" borderId="4" xfId="13" applyNumberFormat="1" applyFont="1" applyFill="1" applyBorder="1" applyAlignment="1">
      <alignment horizontal="center" vertical="center" wrapText="1" shrinkToFit="1"/>
    </xf>
    <xf numFmtId="49" fontId="3" fillId="0" borderId="10" xfId="13" applyNumberFormat="1" applyFont="1" applyFill="1" applyBorder="1" applyAlignment="1">
      <alignment horizontal="center" vertical="center" wrapText="1" shrinkToFit="1"/>
    </xf>
    <xf numFmtId="4" fontId="3" fillId="0" borderId="46" xfId="14" applyNumberFormat="1" applyFont="1" applyBorder="1" applyAlignment="1">
      <alignment horizontal="center" vertical="center"/>
    </xf>
    <xf numFmtId="4" fontId="3" fillId="0" borderId="3" xfId="15" applyNumberFormat="1" applyFont="1" applyBorder="1" applyAlignment="1">
      <alignment horizontal="center" vertical="center"/>
    </xf>
    <xf numFmtId="4" fontId="3" fillId="0" borderId="4" xfId="15" applyNumberFormat="1" applyFont="1" applyBorder="1" applyAlignment="1">
      <alignment horizontal="center" vertical="center"/>
    </xf>
    <xf numFmtId="0" fontId="3" fillId="0" borderId="29" xfId="14" applyFont="1" applyBorder="1" applyAlignment="1">
      <alignment horizontal="center" vertical="center" wrapText="1"/>
    </xf>
    <xf numFmtId="0" fontId="3" fillId="0" borderId="15" xfId="14" applyFont="1" applyBorder="1" applyAlignment="1">
      <alignment horizontal="center" vertical="center" wrapText="1"/>
    </xf>
    <xf numFmtId="171" fontId="3" fillId="13" borderId="30" xfId="14" applyNumberFormat="1" applyFont="1" applyFill="1" applyBorder="1" applyAlignment="1">
      <alignment horizontal="center" vertical="center" wrapText="1"/>
    </xf>
    <xf numFmtId="171" fontId="3" fillId="13" borderId="12" xfId="14" applyNumberFormat="1" applyFont="1" applyFill="1" applyBorder="1" applyAlignment="1">
      <alignment horizontal="center" vertical="center" wrapText="1"/>
    </xf>
    <xf numFmtId="171" fontId="3" fillId="0" borderId="31" xfId="14" applyNumberFormat="1" applyFont="1" applyBorder="1" applyAlignment="1">
      <alignment horizontal="center" vertical="center" wrapText="1"/>
    </xf>
    <xf numFmtId="171" fontId="3" fillId="0" borderId="32" xfId="14" applyNumberFormat="1" applyFont="1" applyBorder="1" applyAlignment="1">
      <alignment horizontal="center" vertical="center" wrapText="1"/>
    </xf>
    <xf numFmtId="171" fontId="3" fillId="0" borderId="35" xfId="14" applyNumberFormat="1" applyFont="1" applyBorder="1" applyAlignment="1">
      <alignment horizontal="center" vertical="center" wrapText="1"/>
    </xf>
    <xf numFmtId="171" fontId="3" fillId="0" borderId="36" xfId="14" applyNumberFormat="1" applyFont="1" applyBorder="1" applyAlignment="1">
      <alignment horizontal="center" vertical="center" wrapText="1"/>
    </xf>
    <xf numFmtId="49" fontId="3" fillId="0" borderId="30" xfId="13" applyNumberFormat="1" applyFont="1" applyFill="1" applyBorder="1" applyAlignment="1">
      <alignment horizontal="center" vertical="center" wrapText="1" shrinkToFit="1"/>
    </xf>
    <xf numFmtId="49" fontId="3" fillId="0" borderId="12" xfId="13" applyNumberFormat="1" applyFont="1" applyFill="1" applyBorder="1" applyAlignment="1">
      <alignment horizontal="center" vertical="center" wrapText="1" shrinkToFit="1"/>
    </xf>
    <xf numFmtId="171" fontId="3" fillId="0" borderId="24" xfId="14" applyNumberFormat="1" applyFont="1" applyBorder="1" applyAlignment="1">
      <alignment horizontal="center" vertical="center" wrapText="1"/>
    </xf>
    <xf numFmtId="171" fontId="3" fillId="0" borderId="33" xfId="14" applyNumberFormat="1" applyFont="1" applyBorder="1" applyAlignment="1">
      <alignment horizontal="center" vertical="center" wrapText="1"/>
    </xf>
    <xf numFmtId="171" fontId="3" fillId="0" borderId="34" xfId="14" applyNumberFormat="1" applyFont="1" applyBorder="1" applyAlignment="1">
      <alignment horizontal="center" vertical="center" wrapText="1"/>
    </xf>
    <xf numFmtId="0" fontId="38" fillId="13" borderId="40" xfId="0" applyFont="1" applyFill="1" applyBorder="1" applyAlignment="1">
      <alignment horizontal="right" wrapText="1"/>
    </xf>
    <xf numFmtId="0" fontId="3" fillId="0" borderId="0" xfId="0" applyFont="1" applyAlignment="1">
      <alignment horizontal="center" wrapText="1"/>
    </xf>
    <xf numFmtId="0" fontId="1" fillId="0" borderId="37" xfId="0" applyFont="1" applyBorder="1" applyAlignment="1">
      <alignment horizontal="center" vertical="center" wrapText="1"/>
    </xf>
    <xf numFmtId="0" fontId="1" fillId="0" borderId="40" xfId="0" applyFont="1" applyBorder="1" applyAlignment="1">
      <alignment horizontal="center" vertical="center" wrapText="1"/>
    </xf>
    <xf numFmtId="171" fontId="1" fillId="0" borderId="38" xfId="0" applyNumberFormat="1" applyFont="1" applyBorder="1" applyAlignment="1">
      <alignment horizontal="center" vertical="center"/>
    </xf>
    <xf numFmtId="171" fontId="1" fillId="0" borderId="38" xfId="0" applyNumberFormat="1" applyFont="1" applyBorder="1" applyAlignment="1">
      <alignment horizontal="center" vertical="center" wrapText="1"/>
    </xf>
    <xf numFmtId="171" fontId="1" fillId="0" borderId="41" xfId="0" applyNumberFormat="1" applyFont="1" applyBorder="1" applyAlignment="1">
      <alignment horizontal="center" vertical="center" wrapText="1"/>
    </xf>
    <xf numFmtId="0" fontId="1" fillId="0" borderId="39"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0" xfId="0" applyFont="1" applyBorder="1" applyAlignment="1">
      <alignment horizontal="right" wrapText="1"/>
    </xf>
    <xf numFmtId="171" fontId="1" fillId="0" borderId="0" xfId="0" applyNumberFormat="1" applyFont="1" applyBorder="1" applyAlignment="1">
      <alignment horizontal="center"/>
    </xf>
    <xf numFmtId="0" fontId="38" fillId="0" borderId="40" xfId="0" applyFont="1" applyFill="1" applyBorder="1" applyAlignment="1">
      <alignment horizontal="right" wrapText="1"/>
    </xf>
    <xf numFmtId="0" fontId="3" fillId="0" borderId="41" xfId="18" applyFont="1" applyBorder="1" applyAlignment="1">
      <alignment horizontal="center" vertical="center" wrapText="1"/>
    </xf>
    <xf numFmtId="166" fontId="4" fillId="0" borderId="0" xfId="17" applyNumberFormat="1" applyFont="1" applyBorder="1" applyAlignment="1">
      <alignment horizontal="right" vertical="center" wrapText="1"/>
    </xf>
    <xf numFmtId="0" fontId="3" fillId="0" borderId="0" xfId="17" applyFont="1" applyBorder="1" applyAlignment="1">
      <alignment horizontal="center" vertical="center" wrapText="1"/>
    </xf>
    <xf numFmtId="0" fontId="3" fillId="0" borderId="37" xfId="18" applyFont="1" applyBorder="1" applyAlignment="1">
      <alignment horizontal="center" vertical="center" wrapText="1"/>
    </xf>
    <xf numFmtId="0" fontId="3" fillId="0" borderId="40" xfId="18" applyFont="1" applyBorder="1" applyAlignment="1">
      <alignment horizontal="center" vertical="center" wrapText="1"/>
    </xf>
    <xf numFmtId="0" fontId="3" fillId="13" borderId="38" xfId="18" applyFont="1" applyFill="1" applyBorder="1" applyAlignment="1">
      <alignment horizontal="center" vertical="center" wrapText="1"/>
    </xf>
    <xf numFmtId="0" fontId="3" fillId="13" borderId="41" xfId="18" applyFont="1" applyFill="1" applyBorder="1" applyAlignment="1">
      <alignment horizontal="center" vertical="center" wrapText="1"/>
    </xf>
    <xf numFmtId="0" fontId="3" fillId="0" borderId="38" xfId="18" applyFont="1" applyBorder="1" applyAlignment="1">
      <alignment horizontal="center" vertical="center" wrapText="1"/>
    </xf>
    <xf numFmtId="0" fontId="3" fillId="0" borderId="41" xfId="18" applyFont="1" applyFill="1" applyBorder="1" applyAlignment="1">
      <alignment horizontal="center" vertical="center" wrapText="1"/>
    </xf>
    <xf numFmtId="0" fontId="3" fillId="0" borderId="42" xfId="18" applyFont="1" applyFill="1" applyBorder="1" applyAlignment="1">
      <alignment horizontal="center" vertical="center" wrapText="1"/>
    </xf>
    <xf numFmtId="0" fontId="3" fillId="0" borderId="38" xfId="17" applyFont="1" applyBorder="1" applyAlignment="1">
      <alignment horizontal="center" vertical="center" wrapText="1"/>
    </xf>
    <xf numFmtId="0" fontId="3" fillId="0" borderId="39" xfId="17" applyFont="1" applyBorder="1" applyAlignment="1">
      <alignment horizontal="center" vertical="center" wrapText="1"/>
    </xf>
    <xf numFmtId="164" fontId="1" fillId="0" borderId="49" xfId="3" applyNumberFormat="1" applyFont="1" applyFill="1" applyBorder="1" applyAlignment="1">
      <alignment horizontal="left" vertical="top" wrapText="1"/>
    </xf>
    <xf numFmtId="49" fontId="27" fillId="0" borderId="14" xfId="3" applyNumberFormat="1" applyFont="1" applyFill="1" applyBorder="1" applyAlignment="1">
      <alignment horizontal="center" vertical="center" wrapText="1"/>
    </xf>
    <xf numFmtId="49" fontId="27" fillId="0" borderId="48" xfId="3" applyNumberFormat="1" applyFont="1" applyFill="1" applyBorder="1" applyAlignment="1">
      <alignment horizontal="center" vertical="center" wrapText="1"/>
    </xf>
    <xf numFmtId="49" fontId="27" fillId="0" borderId="16" xfId="3" applyNumberFormat="1" applyFont="1" applyFill="1" applyBorder="1" applyAlignment="1">
      <alignment horizontal="center" vertical="center" wrapText="1"/>
    </xf>
    <xf numFmtId="49" fontId="1" fillId="0" borderId="14" xfId="3" applyNumberFormat="1" applyFont="1" applyFill="1" applyBorder="1" applyAlignment="1">
      <alignment horizontal="center" vertical="center" wrapText="1"/>
    </xf>
    <xf numFmtId="49" fontId="1" fillId="0" borderId="48" xfId="3" applyNumberFormat="1" applyFont="1" applyFill="1" applyBorder="1" applyAlignment="1">
      <alignment horizontal="center" vertical="center" wrapText="1"/>
    </xf>
    <xf numFmtId="49" fontId="1" fillId="0" borderId="16" xfId="3" applyNumberFormat="1" applyFont="1" applyFill="1" applyBorder="1" applyAlignment="1">
      <alignment horizontal="center" vertical="center" wrapText="1"/>
    </xf>
    <xf numFmtId="171" fontId="3" fillId="0" borderId="6" xfId="3" applyNumberFormat="1" applyFont="1" applyFill="1" applyBorder="1" applyAlignment="1">
      <alignment horizontal="center" vertical="center" wrapText="1"/>
    </xf>
    <xf numFmtId="0" fontId="8" fillId="0" borderId="6" xfId="3" applyNumberFormat="1" applyFont="1" applyFill="1" applyBorder="1" applyAlignment="1">
      <alignment horizontal="center" vertical="center" wrapText="1"/>
    </xf>
    <xf numFmtId="0" fontId="3" fillId="0" borderId="6" xfId="3" applyNumberFormat="1" applyFont="1" applyFill="1" applyBorder="1" applyAlignment="1">
      <alignment horizontal="center" vertical="center" wrapText="1"/>
    </xf>
    <xf numFmtId="0" fontId="3" fillId="0" borderId="6" xfId="20" applyFont="1" applyFill="1" applyBorder="1" applyAlignment="1">
      <alignment horizontal="center" vertical="center" wrapText="1"/>
    </xf>
    <xf numFmtId="0" fontId="0" fillId="0" borderId="6" xfId="0" applyBorder="1" applyAlignment="1">
      <alignment horizontal="center" vertical="center" wrapText="1"/>
    </xf>
    <xf numFmtId="49" fontId="3" fillId="0" borderId="10" xfId="20" applyNumberFormat="1" applyFont="1" applyFill="1" applyBorder="1" applyAlignment="1">
      <alignment horizontal="center" vertical="center" wrapText="1"/>
    </xf>
    <xf numFmtId="0" fontId="44" fillId="0" borderId="0" xfId="3" applyNumberFormat="1" applyFont="1" applyFill="1" applyBorder="1" applyAlignment="1">
      <alignment horizontal="center" vertical="top" wrapText="1"/>
    </xf>
    <xf numFmtId="0" fontId="3" fillId="0" borderId="2" xfId="3" applyNumberFormat="1" applyFont="1" applyFill="1" applyBorder="1" applyAlignment="1">
      <alignment horizontal="center" vertical="center" wrapText="1"/>
    </xf>
    <xf numFmtId="0" fontId="3" fillId="0" borderId="5" xfId="3" applyNumberFormat="1" applyFont="1" applyFill="1" applyBorder="1" applyAlignment="1">
      <alignment horizontal="center" vertical="center" wrapText="1"/>
    </xf>
    <xf numFmtId="175" fontId="3" fillId="0" borderId="3" xfId="3" applyNumberFormat="1" applyFont="1" applyFill="1" applyBorder="1" applyAlignment="1">
      <alignment horizontal="center" vertical="center" wrapText="1"/>
    </xf>
    <xf numFmtId="175" fontId="3" fillId="0" borderId="6" xfId="3" applyNumberFormat="1" applyFont="1" applyFill="1" applyBorder="1" applyAlignment="1">
      <alignment horizontal="center" vertical="center" wrapText="1"/>
    </xf>
    <xf numFmtId="0" fontId="41" fillId="0" borderId="3" xfId="3" applyNumberFormat="1" applyFont="1" applyFill="1" applyBorder="1" applyAlignment="1">
      <alignment horizontal="center" vertical="top" wrapText="1"/>
    </xf>
    <xf numFmtId="164" fontId="3" fillId="0" borderId="24" xfId="3" applyNumberFormat="1" applyFont="1" applyFill="1" applyBorder="1" applyAlignment="1">
      <alignment horizontal="center" vertical="top" wrapText="1"/>
    </xf>
    <xf numFmtId="164" fontId="3" fillId="0" borderId="33" xfId="3" applyNumberFormat="1" applyFont="1" applyFill="1" applyBorder="1" applyAlignment="1">
      <alignment horizontal="center" vertical="top" wrapText="1"/>
    </xf>
    <xf numFmtId="164" fontId="3" fillId="0" borderId="34" xfId="3" applyNumberFormat="1" applyFont="1" applyFill="1" applyBorder="1" applyAlignment="1">
      <alignment horizontal="center" vertical="top" wrapText="1"/>
    </xf>
    <xf numFmtId="0" fontId="3" fillId="13" borderId="40" xfId="0" applyFont="1" applyFill="1" applyBorder="1" applyAlignment="1">
      <alignment horizontal="left"/>
    </xf>
    <xf numFmtId="0" fontId="3" fillId="13" borderId="41" xfId="0" applyFont="1" applyFill="1" applyBorder="1" applyAlignment="1">
      <alignment horizontal="left"/>
    </xf>
    <xf numFmtId="0" fontId="3" fillId="13" borderId="42" xfId="0" applyFont="1" applyFill="1" applyBorder="1" applyAlignment="1">
      <alignment horizontal="left"/>
    </xf>
    <xf numFmtId="0" fontId="38" fillId="13" borderId="40" xfId="0" applyFont="1" applyFill="1" applyBorder="1" applyAlignment="1">
      <alignment horizontal="left" wrapText="1"/>
    </xf>
    <xf numFmtId="0" fontId="38" fillId="13" borderId="41" xfId="0" applyFont="1" applyFill="1" applyBorder="1" applyAlignment="1">
      <alignment horizontal="left"/>
    </xf>
    <xf numFmtId="0" fontId="38" fillId="13" borderId="42" xfId="0" applyFont="1" applyFill="1" applyBorder="1" applyAlignment="1">
      <alignment horizontal="left"/>
    </xf>
    <xf numFmtId="0" fontId="3" fillId="13" borderId="40" xfId="0" applyFont="1" applyFill="1" applyBorder="1" applyAlignment="1">
      <alignment horizontal="left" wrapText="1"/>
    </xf>
    <xf numFmtId="0" fontId="38" fillId="13" borderId="40" xfId="0" applyFont="1" applyFill="1" applyBorder="1" applyAlignment="1">
      <alignment horizontal="left"/>
    </xf>
    <xf numFmtId="0" fontId="1" fillId="13" borderId="42" xfId="0" applyFont="1" applyFill="1" applyBorder="1" applyAlignment="1">
      <alignment vertical="top" wrapText="1"/>
    </xf>
    <xf numFmtId="49" fontId="38" fillId="13" borderId="40" xfId="0" applyNumberFormat="1" applyFont="1" applyFill="1" applyBorder="1" applyAlignment="1">
      <alignment horizontal="left"/>
    </xf>
    <xf numFmtId="49" fontId="38" fillId="13" borderId="41" xfId="0" applyNumberFormat="1" applyFont="1" applyFill="1" applyBorder="1" applyAlignment="1">
      <alignment horizontal="left"/>
    </xf>
    <xf numFmtId="49" fontId="38" fillId="13" borderId="42" xfId="0" applyNumberFormat="1" applyFont="1" applyFill="1" applyBorder="1" applyAlignment="1">
      <alignment horizontal="left"/>
    </xf>
    <xf numFmtId="49" fontId="1" fillId="13" borderId="40" xfId="0" applyNumberFormat="1" applyFont="1" applyFill="1" applyBorder="1" applyAlignment="1">
      <alignment horizontal="center" vertical="top"/>
    </xf>
    <xf numFmtId="0" fontId="1" fillId="13" borderId="41" xfId="0" applyFont="1" applyFill="1" applyBorder="1" applyAlignment="1">
      <alignment horizontal="left" vertical="top" wrapText="1"/>
    </xf>
    <xf numFmtId="0" fontId="0" fillId="0" borderId="42" xfId="0" applyBorder="1" applyAlignment="1">
      <alignment vertical="top" wrapText="1"/>
    </xf>
    <xf numFmtId="49" fontId="1" fillId="13" borderId="40" xfId="0" applyNumberFormat="1" applyFont="1" applyFill="1" applyBorder="1" applyAlignment="1">
      <alignment horizontal="center" vertical="top" wrapText="1"/>
    </xf>
    <xf numFmtId="49" fontId="1" fillId="13" borderId="41" xfId="0" applyNumberFormat="1" applyFont="1" applyFill="1" applyBorder="1" applyAlignment="1">
      <alignment horizontal="left" vertical="top" wrapText="1"/>
    </xf>
    <xf numFmtId="0" fontId="38" fillId="13" borderId="40" xfId="0" applyFont="1" applyFill="1" applyBorder="1" applyAlignment="1"/>
    <xf numFmtId="0" fontId="38" fillId="13" borderId="41" xfId="0" applyFont="1" applyFill="1" applyBorder="1" applyAlignment="1"/>
    <xf numFmtId="0" fontId="38" fillId="13" borderId="42" xfId="0" applyFont="1" applyFill="1" applyBorder="1" applyAlignment="1"/>
    <xf numFmtId="0" fontId="38" fillId="13" borderId="50" xfId="0" applyFont="1" applyFill="1" applyBorder="1" applyAlignment="1">
      <alignment horizontal="left"/>
    </xf>
    <xf numFmtId="0" fontId="38" fillId="13" borderId="51" xfId="0" applyFont="1" applyFill="1" applyBorder="1" applyAlignment="1">
      <alignment horizontal="left"/>
    </xf>
    <xf numFmtId="0" fontId="38" fillId="13" borderId="52" xfId="0" applyFont="1" applyFill="1" applyBorder="1" applyAlignment="1">
      <alignment horizontal="left"/>
    </xf>
    <xf numFmtId="0" fontId="38" fillId="13" borderId="53" xfId="0" applyFont="1" applyFill="1" applyBorder="1" applyAlignment="1">
      <alignment horizontal="left"/>
    </xf>
    <xf numFmtId="0" fontId="38" fillId="13" borderId="54" xfId="0" applyFont="1" applyFill="1" applyBorder="1" applyAlignment="1">
      <alignment horizontal="left"/>
    </xf>
    <xf numFmtId="0" fontId="38" fillId="13" borderId="55" xfId="0" applyFont="1" applyFill="1" applyBorder="1" applyAlignment="1">
      <alignment horizontal="left"/>
    </xf>
    <xf numFmtId="0" fontId="1" fillId="13" borderId="40" xfId="0" applyFont="1" applyFill="1" applyBorder="1" applyAlignment="1">
      <alignment horizontal="center" vertical="top" wrapText="1"/>
    </xf>
    <xf numFmtId="0" fontId="1" fillId="13" borderId="41" xfId="0" applyFont="1" applyFill="1" applyBorder="1" applyAlignment="1">
      <alignment vertical="top" wrapText="1"/>
    </xf>
    <xf numFmtId="49" fontId="3" fillId="13" borderId="40" xfId="0" applyNumberFormat="1" applyFont="1" applyFill="1" applyBorder="1" applyAlignment="1">
      <alignment horizontal="left" wrapText="1"/>
    </xf>
    <xf numFmtId="49" fontId="3" fillId="13" borderId="41" xfId="0" applyNumberFormat="1" applyFont="1" applyFill="1" applyBorder="1" applyAlignment="1">
      <alignment horizontal="left" wrapText="1"/>
    </xf>
    <xf numFmtId="49" fontId="3" fillId="13" borderId="42" xfId="0" applyNumberFormat="1" applyFont="1" applyFill="1" applyBorder="1" applyAlignment="1">
      <alignment horizontal="left" wrapText="1"/>
    </xf>
    <xf numFmtId="49" fontId="38" fillId="0" borderId="40" xfId="0" applyNumberFormat="1" applyFont="1" applyFill="1" applyBorder="1" applyAlignment="1">
      <alignment horizontal="left" wrapText="1"/>
    </xf>
    <xf numFmtId="49" fontId="38" fillId="0" borderId="41" xfId="0" applyNumberFormat="1" applyFont="1" applyFill="1" applyBorder="1" applyAlignment="1">
      <alignment horizontal="left" wrapText="1"/>
    </xf>
    <xf numFmtId="49" fontId="38" fillId="0" borderId="42" xfId="0" applyNumberFormat="1" applyFont="1" applyFill="1" applyBorder="1" applyAlignment="1">
      <alignment horizontal="left" wrapText="1"/>
    </xf>
    <xf numFmtId="0" fontId="0" fillId="13" borderId="42" xfId="0" applyFont="1" applyFill="1" applyBorder="1" applyAlignment="1">
      <alignment vertical="top" wrapText="1"/>
    </xf>
    <xf numFmtId="0" fontId="38" fillId="13" borderId="40" xfId="0" applyFont="1" applyFill="1" applyBorder="1" applyAlignment="1">
      <alignment horizontal="left" vertical="center" wrapText="1"/>
    </xf>
    <xf numFmtId="0" fontId="38" fillId="13" borderId="41" xfId="0" applyFont="1" applyFill="1" applyBorder="1" applyAlignment="1">
      <alignment horizontal="left" vertical="center" wrapText="1"/>
    </xf>
    <xf numFmtId="0" fontId="38" fillId="13" borderId="42" xfId="0" applyFont="1" applyFill="1" applyBorder="1" applyAlignment="1">
      <alignment horizontal="left" vertical="center" wrapText="1"/>
    </xf>
    <xf numFmtId="0" fontId="3" fillId="0" borderId="40" xfId="0" applyFont="1" applyFill="1" applyBorder="1" applyAlignment="1">
      <alignment horizontal="left"/>
    </xf>
    <xf numFmtId="0" fontId="3" fillId="0" borderId="41" xfId="0" applyFont="1" applyFill="1" applyBorder="1" applyAlignment="1">
      <alignment horizontal="left"/>
    </xf>
    <xf numFmtId="0" fontId="3" fillId="0" borderId="42" xfId="0" applyFont="1" applyFill="1" applyBorder="1" applyAlignment="1">
      <alignment horizontal="left"/>
    </xf>
    <xf numFmtId="0" fontId="0" fillId="0" borderId="40" xfId="0" applyBorder="1" applyAlignment="1">
      <alignment horizontal="center" vertical="top"/>
    </xf>
    <xf numFmtId="0" fontId="0" fillId="0" borderId="41" xfId="0" applyBorder="1" applyAlignment="1">
      <alignment horizontal="left" vertical="top" wrapText="1"/>
    </xf>
    <xf numFmtId="0" fontId="0" fillId="0" borderId="42" xfId="0" applyFont="1" applyBorder="1" applyAlignment="1">
      <alignment vertical="top" wrapText="1"/>
    </xf>
    <xf numFmtId="49" fontId="1" fillId="0" borderId="40" xfId="0" applyNumberFormat="1" applyFont="1" applyFill="1" applyBorder="1" applyAlignment="1">
      <alignment horizontal="center" vertical="top" wrapText="1"/>
    </xf>
    <xf numFmtId="0" fontId="1" fillId="0" borderId="41" xfId="0" applyFont="1" applyFill="1" applyBorder="1" applyAlignment="1">
      <alignment horizontal="left" vertical="top" wrapText="1"/>
    </xf>
    <xf numFmtId="49" fontId="4" fillId="0" borderId="40" xfId="21" applyNumberFormat="1" applyFont="1" applyFill="1" applyBorder="1" applyAlignment="1">
      <alignment horizontal="center" vertical="top" wrapText="1"/>
    </xf>
    <xf numFmtId="11" fontId="4" fillId="0" borderId="41" xfId="21" applyNumberFormat="1" applyFont="1" applyFill="1" applyBorder="1" applyAlignment="1">
      <alignment horizontal="left" vertical="top" wrapText="1"/>
    </xf>
    <xf numFmtId="49" fontId="38" fillId="13" borderId="40" xfId="0" applyNumberFormat="1" applyFont="1" applyFill="1" applyBorder="1" applyAlignment="1"/>
    <xf numFmtId="49" fontId="38" fillId="13" borderId="41" xfId="0" applyNumberFormat="1" applyFont="1" applyFill="1" applyBorder="1" applyAlignment="1"/>
    <xf numFmtId="49" fontId="38" fillId="13" borderId="42" xfId="0" applyNumberFormat="1" applyFont="1" applyFill="1" applyBorder="1" applyAlignment="1"/>
    <xf numFmtId="49" fontId="38" fillId="13" borderId="40" xfId="0" applyNumberFormat="1" applyFont="1" applyFill="1" applyBorder="1" applyAlignment="1">
      <alignment wrapText="1"/>
    </xf>
    <xf numFmtId="0" fontId="1" fillId="0" borderId="42" xfId="0" applyFont="1" applyFill="1" applyBorder="1" applyAlignment="1">
      <alignment vertical="top" wrapText="1"/>
    </xf>
    <xf numFmtId="0" fontId="38" fillId="13" borderId="40" xfId="0" applyFont="1" applyFill="1" applyBorder="1" applyAlignment="1">
      <alignment wrapText="1"/>
    </xf>
    <xf numFmtId="0" fontId="38" fillId="13" borderId="41" xfId="0" applyFont="1" applyFill="1" applyBorder="1" applyAlignment="1">
      <alignment horizontal="left" vertical="center"/>
    </xf>
    <xf numFmtId="0" fontId="38" fillId="13" borderId="42" xfId="0" applyFont="1" applyFill="1" applyBorder="1" applyAlignment="1">
      <alignment horizontal="left" vertical="center"/>
    </xf>
    <xf numFmtId="49" fontId="1" fillId="13" borderId="42" xfId="0" applyNumberFormat="1" applyFont="1" applyFill="1" applyBorder="1" applyAlignment="1">
      <alignment vertical="top" wrapText="1"/>
    </xf>
    <xf numFmtId="49" fontId="14" fillId="0" borderId="40" xfId="0" applyNumberFormat="1" applyFont="1" applyFill="1" applyBorder="1" applyAlignment="1">
      <alignment horizontal="left" vertical="center" wrapText="1"/>
    </xf>
    <xf numFmtId="49" fontId="14" fillId="0" borderId="41" xfId="0" applyNumberFormat="1" applyFont="1" applyFill="1" applyBorder="1" applyAlignment="1">
      <alignment horizontal="left" vertical="center" wrapText="1"/>
    </xf>
    <xf numFmtId="49" fontId="14" fillId="0" borderId="42" xfId="0" applyNumberFormat="1" applyFont="1" applyFill="1" applyBorder="1" applyAlignment="1">
      <alignment horizontal="left" vertical="center" wrapText="1"/>
    </xf>
    <xf numFmtId="49" fontId="4" fillId="0" borderId="40" xfId="0" applyNumberFormat="1" applyFont="1" applyFill="1" applyBorder="1" applyAlignment="1">
      <alignment horizontal="center" vertical="top" wrapText="1"/>
    </xf>
    <xf numFmtId="11" fontId="4" fillId="0" borderId="41" xfId="0" applyNumberFormat="1" applyFont="1" applyFill="1" applyBorder="1" applyAlignment="1">
      <alignment horizontal="left" vertical="top" wrapText="1"/>
    </xf>
    <xf numFmtId="0" fontId="38" fillId="13" borderId="41" xfId="0" applyFont="1" applyFill="1" applyBorder="1" applyAlignment="1">
      <alignment horizontal="left" wrapText="1"/>
    </xf>
    <xf numFmtId="0" fontId="38" fillId="13" borderId="42" xfId="0" applyFont="1" applyFill="1" applyBorder="1" applyAlignment="1">
      <alignment horizontal="left" wrapText="1"/>
    </xf>
    <xf numFmtId="0" fontId="18" fillId="13" borderId="0" xfId="0" applyFont="1" applyFill="1" applyAlignment="1">
      <alignment horizontal="center"/>
    </xf>
    <xf numFmtId="49" fontId="4" fillId="13" borderId="37" xfId="22" applyNumberFormat="1" applyFont="1" applyFill="1" applyBorder="1" applyAlignment="1">
      <alignment horizontal="center" vertical="top" wrapText="1"/>
    </xf>
    <xf numFmtId="49" fontId="4" fillId="13" borderId="40" xfId="22" applyNumberFormat="1" applyFont="1" applyFill="1" applyBorder="1" applyAlignment="1">
      <alignment horizontal="center" vertical="top" wrapText="1"/>
    </xf>
    <xf numFmtId="11" fontId="4" fillId="13" borderId="38" xfId="22" applyNumberFormat="1" applyFont="1" applyFill="1" applyBorder="1" applyAlignment="1">
      <alignment horizontal="center" vertical="top" wrapText="1"/>
    </xf>
    <xf numFmtId="11" fontId="4" fillId="13" borderId="41" xfId="22" applyNumberFormat="1" applyFont="1" applyFill="1" applyBorder="1" applyAlignment="1">
      <alignment horizontal="center" vertical="top" wrapText="1"/>
    </xf>
    <xf numFmtId="177" fontId="4" fillId="13" borderId="38" xfId="22" applyNumberFormat="1" applyFont="1" applyFill="1" applyBorder="1" applyAlignment="1">
      <alignment horizontal="center" vertical="center" wrapText="1"/>
    </xf>
    <xf numFmtId="0" fontId="1" fillId="13" borderId="39" xfId="0" applyFont="1" applyFill="1" applyBorder="1" applyAlignment="1">
      <alignment horizontal="center" vertical="top" wrapText="1"/>
    </xf>
    <xf numFmtId="0" fontId="1" fillId="13" borderId="42" xfId="0" applyFont="1" applyFill="1" applyBorder="1" applyAlignment="1">
      <alignment horizontal="center" vertical="top" wrapText="1"/>
    </xf>
    <xf numFmtId="0" fontId="38" fillId="13" borderId="42" xfId="0" applyFont="1" applyFill="1" applyBorder="1" applyAlignment="1">
      <alignment vertical="top" wrapText="1"/>
    </xf>
    <xf numFmtId="0" fontId="3" fillId="13" borderId="41" xfId="0" applyFont="1" applyFill="1" applyBorder="1" applyAlignment="1">
      <alignment horizontal="left" wrapText="1"/>
    </xf>
    <xf numFmtId="0" fontId="3" fillId="13" borderId="42" xfId="0" applyFont="1" applyFill="1" applyBorder="1" applyAlignment="1">
      <alignment horizontal="left" wrapText="1"/>
    </xf>
    <xf numFmtId="0" fontId="5" fillId="0" borderId="0" xfId="0" applyFont="1" applyAlignment="1">
      <alignment horizontal="center"/>
    </xf>
    <xf numFmtId="49" fontId="17" fillId="0" borderId="37" xfId="19" applyFont="1" applyFill="1" applyBorder="1" applyAlignment="1" applyProtection="1">
      <alignment horizontal="center" vertical="center" wrapText="1"/>
    </xf>
    <xf numFmtId="49" fontId="17" fillId="0" borderId="40" xfId="19" applyFont="1" applyFill="1" applyBorder="1" applyAlignment="1" applyProtection="1">
      <alignment horizontal="center" vertical="center" wrapText="1"/>
    </xf>
    <xf numFmtId="49" fontId="17" fillId="0" borderId="38" xfId="19" applyFont="1" applyFill="1" applyBorder="1" applyAlignment="1" applyProtection="1">
      <alignment horizontal="center" vertical="center" wrapText="1"/>
    </xf>
    <xf numFmtId="49" fontId="17" fillId="0" borderId="41" xfId="19" applyFont="1" applyFill="1" applyBorder="1" applyAlignment="1" applyProtection="1">
      <alignment horizontal="center" vertical="center" wrapText="1"/>
    </xf>
    <xf numFmtId="0" fontId="4" fillId="0" borderId="38"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8"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6" xfId="0" applyFont="1" applyBorder="1" applyAlignment="1">
      <alignment horizontal="center" vertical="center" wrapText="1"/>
    </xf>
    <xf numFmtId="166" fontId="0" fillId="0" borderId="0" xfId="0" applyNumberFormat="1" applyFont="1" applyAlignment="1">
      <alignment horizontal="right" vertical="top" wrapText="1"/>
    </xf>
    <xf numFmtId="0" fontId="3" fillId="0" borderId="24" xfId="0" applyFont="1" applyBorder="1" applyAlignment="1">
      <alignment horizontal="center" vertical="center" wrapText="1"/>
    </xf>
    <xf numFmtId="0" fontId="20" fillId="0" borderId="10" xfId="0" applyFont="1" applyBorder="1" applyAlignment="1">
      <alignment horizontal="center" vertical="center" wrapText="1"/>
    </xf>
    <xf numFmtId="166" fontId="27" fillId="0" borderId="0" xfId="0" applyNumberFormat="1" applyFont="1" applyAlignment="1">
      <alignment horizontal="right" vertical="center" wrapText="1"/>
    </xf>
    <xf numFmtId="0" fontId="0" fillId="0" borderId="0" xfId="0" applyFont="1" applyFill="1" applyAlignment="1">
      <alignment horizontal="right" vertical="center" wrapText="1"/>
    </xf>
    <xf numFmtId="0" fontId="3" fillId="0" borderId="26" xfId="0" applyFont="1" applyBorder="1" applyAlignment="1">
      <alignment horizontal="center" vertical="center" wrapText="1"/>
    </xf>
    <xf numFmtId="0" fontId="0" fillId="0" borderId="0" xfId="0" applyFont="1" applyFill="1" applyAlignment="1">
      <alignment horizontal="right" vertical="top" wrapText="1"/>
    </xf>
    <xf numFmtId="0" fontId="3" fillId="0" borderId="0" xfId="0" applyFont="1" applyFill="1" applyAlignment="1">
      <alignment horizontal="center" vertical="center" wrapText="1"/>
    </xf>
    <xf numFmtId="0" fontId="3" fillId="6" borderId="3"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0" borderId="0" xfId="0" applyFont="1" applyAlignment="1">
      <alignment horizontal="center" vertical="center" wrapText="1"/>
    </xf>
    <xf numFmtId="0" fontId="3" fillId="7" borderId="0" xfId="0" applyFont="1" applyFill="1" applyAlignment="1">
      <alignment horizontal="center" vertical="center" wrapText="1"/>
    </xf>
    <xf numFmtId="0" fontId="3" fillId="8" borderId="0" xfId="0" applyFont="1" applyFill="1" applyAlignment="1">
      <alignment horizontal="center" vertical="center" wrapText="1"/>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9" xfId="0" applyFont="1" applyBorder="1" applyAlignment="1">
      <alignment vertical="center" wrapText="1"/>
    </xf>
    <xf numFmtId="0" fontId="31" fillId="0" borderId="20" xfId="0" applyFont="1" applyBorder="1" applyAlignment="1">
      <alignment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20" xfId="0" applyFont="1" applyBorder="1" applyAlignment="1">
      <alignment horizontal="center" vertical="center" wrapText="1"/>
    </xf>
    <xf numFmtId="174" fontId="3" fillId="0" borderId="0" xfId="0" applyNumberFormat="1" applyFont="1" applyAlignment="1">
      <alignment horizontal="center" vertical="center" wrapText="1"/>
    </xf>
  </cellXfs>
  <cellStyles count="24">
    <cellStyle name="xl105" xfId="1"/>
    <cellStyle name="xl26" xfId="6"/>
    <cellStyle name="xl27" xfId="7"/>
    <cellStyle name="xl45" xfId="11"/>
    <cellStyle name="xl46" xfId="8"/>
    <cellStyle name="xl48" xfId="10"/>
    <cellStyle name="xl57" xfId="5"/>
    <cellStyle name="xl58" xfId="4"/>
    <cellStyle name="xl73" xfId="19"/>
    <cellStyle name="xl79" xfId="12"/>
    <cellStyle name="xl81" xfId="2"/>
    <cellStyle name="xl96" xfId="9"/>
    <cellStyle name="Обычный" xfId="0" builtinId="0"/>
    <cellStyle name="Обычный 10" xfId="17"/>
    <cellStyle name="Обычный 2" xfId="3"/>
    <cellStyle name="Обычный 2 2" xfId="13"/>
    <cellStyle name="Обычный 2 2 4" xfId="21"/>
    <cellStyle name="Обычный 2 3" xfId="23"/>
    <cellStyle name="Обычный 2 4" xfId="20"/>
    <cellStyle name="Обычный 3" xfId="22"/>
    <cellStyle name="Обычный 5 2" xfId="18"/>
    <cellStyle name="Обычный 6" xfId="14"/>
    <cellStyle name="Обычный 7 2" xfId="15"/>
    <cellStyle name="Обычный 8 2" xfId="16"/>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CC"/>
      <color rgb="FFFF4747"/>
      <color rgb="FF9E7800"/>
      <color rgb="FFFFFF99"/>
      <color rgb="FF584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185"/>
  <sheetViews>
    <sheetView zoomScale="130" zoomScaleNormal="130" zoomScaleSheetLayoutView="85" workbookViewId="0">
      <selection activeCell="Q5" sqref="Q5:U5"/>
    </sheetView>
  </sheetViews>
  <sheetFormatPr defaultColWidth="9.44140625" defaultRowHeight="13.2" x14ac:dyDescent="0.25"/>
  <cols>
    <col min="1" max="1" width="48" style="1" customWidth="1"/>
    <col min="2" max="2" width="12.33203125" style="2" hidden="1" customWidth="1"/>
    <col min="3" max="3" width="11.6640625" style="2" hidden="1" customWidth="1"/>
    <col min="4" max="4" width="13" style="2" hidden="1" customWidth="1"/>
    <col min="5" max="5" width="17.5546875" style="2" hidden="1" customWidth="1"/>
    <col min="6" max="6" width="9.88671875" style="2" hidden="1" customWidth="1"/>
    <col min="7" max="8" width="9.44140625" style="2" hidden="1" customWidth="1"/>
    <col min="9" max="9" width="11.33203125" style="2" hidden="1" customWidth="1"/>
    <col min="10" max="10" width="11.44140625" style="2" hidden="1" customWidth="1"/>
    <col min="11" max="11" width="13.5546875" style="2" hidden="1" customWidth="1"/>
    <col min="12" max="12" width="16.88671875" style="2" hidden="1" customWidth="1"/>
    <col min="13" max="13" width="10.5546875" style="2" hidden="1" customWidth="1"/>
    <col min="14" max="15" width="9.44140625" style="2" hidden="1" customWidth="1"/>
    <col min="16" max="16" width="9.5546875" style="3" customWidth="1"/>
    <col min="17" max="17" width="10" style="3" customWidth="1"/>
    <col min="18" max="18" width="9.5546875" style="3" customWidth="1"/>
    <col min="19" max="20" width="8.88671875" style="3" customWidth="1"/>
    <col min="21" max="21" width="8.33203125" style="3" customWidth="1"/>
    <col min="22" max="22" width="10.44140625" style="3" bestFit="1" customWidth="1"/>
    <col min="23" max="23" width="9.44140625" style="3"/>
    <col min="24" max="24" width="9.6640625" style="3" customWidth="1"/>
    <col min="25" max="25" width="9.109375" style="3" customWidth="1"/>
    <col min="26" max="26" width="8.6640625" style="3" customWidth="1"/>
    <col min="27" max="27" width="8.33203125" style="3" customWidth="1"/>
    <col min="28" max="29" width="9.6640625" style="3" customWidth="1"/>
    <col min="30" max="30" width="9.5546875" style="3" customWidth="1"/>
    <col min="31" max="31" width="8.5546875" style="3" customWidth="1"/>
    <col min="32" max="32" width="7.88671875" style="3" customWidth="1"/>
    <col min="33" max="33" width="8.33203125" style="3" customWidth="1"/>
    <col min="34" max="34" width="19.109375" style="3" customWidth="1"/>
    <col min="35" max="35" width="16.33203125" style="3" customWidth="1"/>
    <col min="36" max="36" width="16.44140625" style="3" customWidth="1"/>
    <col min="37" max="37" width="17" style="3" customWidth="1"/>
    <col min="38" max="16384" width="9.44140625" style="3"/>
  </cols>
  <sheetData>
    <row r="1" spans="1:38" x14ac:dyDescent="0.25">
      <c r="AD1" s="994" t="s">
        <v>0</v>
      </c>
      <c r="AE1" s="994"/>
      <c r="AF1" s="994"/>
      <c r="AG1" s="994"/>
    </row>
    <row r="2" spans="1:38" ht="29.25" customHeight="1" x14ac:dyDescent="0.25">
      <c r="A2" s="995" t="s">
        <v>2446</v>
      </c>
      <c r="B2" s="995"/>
      <c r="C2" s="995"/>
      <c r="D2" s="995"/>
      <c r="E2" s="995"/>
      <c r="F2" s="995"/>
      <c r="G2" s="995"/>
      <c r="H2" s="995"/>
      <c r="I2" s="995"/>
      <c r="J2" s="995"/>
      <c r="K2" s="995"/>
      <c r="L2" s="995"/>
      <c r="M2" s="995"/>
      <c r="N2" s="995"/>
      <c r="O2" s="995"/>
      <c r="P2" s="995"/>
      <c r="Q2" s="995"/>
      <c r="R2" s="995"/>
      <c r="S2" s="995"/>
      <c r="T2" s="995"/>
      <c r="U2" s="995"/>
      <c r="V2" s="995"/>
      <c r="W2" s="995"/>
      <c r="X2" s="995"/>
      <c r="Y2" s="995"/>
      <c r="Z2" s="995"/>
      <c r="AA2" s="995"/>
      <c r="AB2" s="995"/>
      <c r="AC2" s="995"/>
      <c r="AD2" s="995"/>
      <c r="AE2" s="995"/>
      <c r="AF2" s="995"/>
      <c r="AG2" s="995"/>
      <c r="AH2" s="335"/>
    </row>
    <row r="3" spans="1:38" ht="13.8" thickBot="1" x14ac:dyDescent="0.3">
      <c r="M3" s="4">
        <f>M27+N27+O27-L27</f>
        <v>0</v>
      </c>
      <c r="P3" s="5"/>
      <c r="Q3" s="5"/>
      <c r="R3" s="5"/>
      <c r="S3" s="6"/>
      <c r="T3" s="6"/>
      <c r="U3" s="6"/>
      <c r="V3" s="5"/>
      <c r="W3" s="5"/>
      <c r="X3" s="5"/>
      <c r="AB3" s="7"/>
      <c r="AC3" s="8"/>
      <c r="AD3" s="7"/>
      <c r="AJ3" s="6"/>
    </row>
    <row r="4" spans="1:38" s="1" customFormat="1" ht="13.95" customHeight="1" thickTop="1" x14ac:dyDescent="0.25">
      <c r="A4" s="977" t="s">
        <v>1</v>
      </c>
      <c r="B4" s="979" t="s">
        <v>557</v>
      </c>
      <c r="C4" s="979"/>
      <c r="D4" s="979"/>
      <c r="E4" s="979"/>
      <c r="F4" s="979"/>
      <c r="G4" s="979"/>
      <c r="H4" s="979"/>
      <c r="I4" s="979" t="s">
        <v>620</v>
      </c>
      <c r="J4" s="979"/>
      <c r="K4" s="979"/>
      <c r="L4" s="979"/>
      <c r="M4" s="979"/>
      <c r="N4" s="979"/>
      <c r="O4" s="979"/>
      <c r="P4" s="979" t="s">
        <v>558</v>
      </c>
      <c r="Q4" s="979"/>
      <c r="R4" s="979"/>
      <c r="S4" s="979"/>
      <c r="T4" s="979"/>
      <c r="U4" s="979"/>
      <c r="V4" s="979" t="s">
        <v>621</v>
      </c>
      <c r="W4" s="979"/>
      <c r="X4" s="979"/>
      <c r="Y4" s="979"/>
      <c r="Z4" s="979"/>
      <c r="AA4" s="979"/>
      <c r="AB4" s="979" t="s">
        <v>2</v>
      </c>
      <c r="AC4" s="979"/>
      <c r="AD4" s="979"/>
      <c r="AE4" s="979"/>
      <c r="AF4" s="979"/>
      <c r="AG4" s="980"/>
      <c r="AH4" s="9"/>
    </row>
    <row r="5" spans="1:38" s="1" customFormat="1" x14ac:dyDescent="0.25">
      <c r="A5" s="978"/>
      <c r="B5" s="973" t="s">
        <v>3</v>
      </c>
      <c r="C5" s="987" t="s">
        <v>4</v>
      </c>
      <c r="D5" s="988"/>
      <c r="E5" s="988"/>
      <c r="F5" s="988"/>
      <c r="G5" s="988"/>
      <c r="H5" s="989"/>
      <c r="I5" s="973" t="s">
        <v>3</v>
      </c>
      <c r="J5" s="331"/>
      <c r="K5" s="972" t="s">
        <v>4</v>
      </c>
      <c r="L5" s="972"/>
      <c r="M5" s="972"/>
      <c r="N5" s="972"/>
      <c r="O5" s="972"/>
      <c r="P5" s="973" t="s">
        <v>3</v>
      </c>
      <c r="Q5" s="972" t="s">
        <v>5</v>
      </c>
      <c r="R5" s="972"/>
      <c r="S5" s="972"/>
      <c r="T5" s="972"/>
      <c r="U5" s="972"/>
      <c r="V5" s="973" t="s">
        <v>3</v>
      </c>
      <c r="W5" s="972" t="s">
        <v>5</v>
      </c>
      <c r="X5" s="972"/>
      <c r="Y5" s="972"/>
      <c r="Z5" s="972"/>
      <c r="AA5" s="972"/>
      <c r="AB5" s="975" t="s">
        <v>3</v>
      </c>
      <c r="AC5" s="972" t="s">
        <v>5</v>
      </c>
      <c r="AD5" s="972"/>
      <c r="AE5" s="972"/>
      <c r="AF5" s="972"/>
      <c r="AG5" s="974"/>
      <c r="AH5" s="9"/>
    </row>
    <row r="6" spans="1:38" s="1" customFormat="1" ht="13.2" customHeight="1" x14ac:dyDescent="0.25">
      <c r="A6" s="978"/>
      <c r="B6" s="973"/>
      <c r="C6" s="985" t="s">
        <v>6</v>
      </c>
      <c r="D6" s="973" t="s">
        <v>7</v>
      </c>
      <c r="E6" s="973" t="s">
        <v>8</v>
      </c>
      <c r="F6" s="976" t="s">
        <v>9</v>
      </c>
      <c r="G6" s="976"/>
      <c r="H6" s="976"/>
      <c r="I6" s="973"/>
      <c r="J6" s="985" t="s">
        <v>6</v>
      </c>
      <c r="K6" s="973" t="s">
        <v>7</v>
      </c>
      <c r="L6" s="973" t="s">
        <v>8</v>
      </c>
      <c r="M6" s="976" t="s">
        <v>9</v>
      </c>
      <c r="N6" s="976"/>
      <c r="O6" s="976"/>
      <c r="P6" s="973"/>
      <c r="Q6" s="973" t="s">
        <v>7</v>
      </c>
      <c r="R6" s="975" t="s">
        <v>8</v>
      </c>
      <c r="S6" s="976" t="s">
        <v>9</v>
      </c>
      <c r="T6" s="976"/>
      <c r="U6" s="976"/>
      <c r="V6" s="973"/>
      <c r="W6" s="973" t="s">
        <v>7</v>
      </c>
      <c r="X6" s="975" t="s">
        <v>8</v>
      </c>
      <c r="Y6" s="976" t="s">
        <v>9</v>
      </c>
      <c r="Z6" s="976"/>
      <c r="AA6" s="976"/>
      <c r="AB6" s="975"/>
      <c r="AC6" s="975" t="s">
        <v>7</v>
      </c>
      <c r="AD6" s="975" t="s">
        <v>8</v>
      </c>
      <c r="AE6" s="981" t="s">
        <v>9</v>
      </c>
      <c r="AF6" s="981"/>
      <c r="AG6" s="982"/>
      <c r="AH6" s="10"/>
    </row>
    <row r="7" spans="1:38" s="1" customFormat="1" ht="45.6" customHeight="1" x14ac:dyDescent="0.25">
      <c r="A7" s="978"/>
      <c r="B7" s="973"/>
      <c r="C7" s="986"/>
      <c r="D7" s="973"/>
      <c r="E7" s="973"/>
      <c r="F7" s="330" t="s">
        <v>10</v>
      </c>
      <c r="G7" s="330" t="s">
        <v>11</v>
      </c>
      <c r="H7" s="330" t="s">
        <v>12</v>
      </c>
      <c r="I7" s="973"/>
      <c r="J7" s="986"/>
      <c r="K7" s="973"/>
      <c r="L7" s="973"/>
      <c r="M7" s="330" t="s">
        <v>10</v>
      </c>
      <c r="N7" s="330" t="s">
        <v>11</v>
      </c>
      <c r="O7" s="330" t="s">
        <v>12</v>
      </c>
      <c r="P7" s="973"/>
      <c r="Q7" s="973"/>
      <c r="R7" s="975"/>
      <c r="S7" s="330" t="s">
        <v>10</v>
      </c>
      <c r="T7" s="330" t="s">
        <v>11</v>
      </c>
      <c r="U7" s="330" t="s">
        <v>12</v>
      </c>
      <c r="V7" s="973"/>
      <c r="W7" s="973"/>
      <c r="X7" s="975"/>
      <c r="Y7" s="330" t="s">
        <v>10</v>
      </c>
      <c r="Z7" s="330" t="s">
        <v>11</v>
      </c>
      <c r="AA7" s="330" t="s">
        <v>12</v>
      </c>
      <c r="AB7" s="975"/>
      <c r="AC7" s="975"/>
      <c r="AD7" s="975"/>
      <c r="AE7" s="11" t="s">
        <v>10</v>
      </c>
      <c r="AF7" s="11" t="s">
        <v>11</v>
      </c>
      <c r="AG7" s="12" t="s">
        <v>13</v>
      </c>
      <c r="AH7" s="13"/>
    </row>
    <row r="8" spans="1:38" s="20" customFormat="1" ht="10.199999999999999" x14ac:dyDescent="0.25">
      <c r="A8" s="14" t="s">
        <v>14</v>
      </c>
      <c r="B8" s="15"/>
      <c r="C8" s="15"/>
      <c r="D8" s="16"/>
      <c r="E8" s="15"/>
      <c r="F8" s="17"/>
      <c r="G8" s="17"/>
      <c r="H8" s="17"/>
      <c r="I8" s="15"/>
      <c r="J8" s="15"/>
      <c r="K8" s="15"/>
      <c r="L8" s="15"/>
      <c r="M8" s="17"/>
      <c r="N8" s="17"/>
      <c r="O8" s="17"/>
      <c r="P8" s="15" t="s">
        <v>15</v>
      </c>
      <c r="Q8" s="15" t="s">
        <v>16</v>
      </c>
      <c r="R8" s="15" t="s">
        <v>17</v>
      </c>
      <c r="S8" s="17">
        <v>4</v>
      </c>
      <c r="T8" s="17">
        <v>5</v>
      </c>
      <c r="U8" s="17">
        <v>6</v>
      </c>
      <c r="V8" s="15" t="s">
        <v>18</v>
      </c>
      <c r="W8" s="15" t="s">
        <v>19</v>
      </c>
      <c r="X8" s="15" t="s">
        <v>20</v>
      </c>
      <c r="Y8" s="17">
        <v>10</v>
      </c>
      <c r="Z8" s="17">
        <v>11</v>
      </c>
      <c r="AA8" s="17">
        <v>12</v>
      </c>
      <c r="AB8" s="15" t="s">
        <v>21</v>
      </c>
      <c r="AC8" s="15" t="s">
        <v>22</v>
      </c>
      <c r="AD8" s="15" t="s">
        <v>23</v>
      </c>
      <c r="AE8" s="17" t="s">
        <v>24</v>
      </c>
      <c r="AF8" s="17" t="s">
        <v>25</v>
      </c>
      <c r="AG8" s="18" t="s">
        <v>26</v>
      </c>
      <c r="AH8" s="19"/>
    </row>
    <row r="9" spans="1:38" s="1" customFormat="1" x14ac:dyDescent="0.25">
      <c r="A9" s="332" t="s">
        <v>27</v>
      </c>
      <c r="B9" s="21">
        <f>B12+B13+B14+B15+B16+B17+B18+B19+B20+B21+B22+B23+B24+B25+B26-B11+B28</f>
        <v>0</v>
      </c>
      <c r="C9" s="21">
        <f t="shared" ref="C9:D9" si="0">C12+C13+C14+C15+C16+C17+C18+C19+C20+C21+C22+C23+C24+C25+C26-C11+C28</f>
        <v>0</v>
      </c>
      <c r="D9" s="21">
        <f t="shared" si="0"/>
        <v>0</v>
      </c>
      <c r="E9" s="21">
        <f>E12+E13+E14+E15+E16+E17+E18+E19+E20+E21+E22+E23+E24+E25+E26-E11+E28</f>
        <v>-3.814697265625E-6</v>
      </c>
      <c r="F9" s="21">
        <f t="shared" ref="F9:O9" si="1">F12+F13+F14+F15+F16+F17+F18+F19+F20+F21+F22+F23+F24+F25+F26-F11+F28</f>
        <v>0</v>
      </c>
      <c r="G9" s="21">
        <f t="shared" si="1"/>
        <v>4.76837158203125E-7</v>
      </c>
      <c r="H9" s="21">
        <f t="shared" si="1"/>
        <v>0</v>
      </c>
      <c r="I9" s="21">
        <f t="shared" si="1"/>
        <v>-1.52587890625E-5</v>
      </c>
      <c r="J9" s="21">
        <f t="shared" si="1"/>
        <v>0</v>
      </c>
      <c r="K9" s="21">
        <f t="shared" si="1"/>
        <v>7.62939453125E-6</v>
      </c>
      <c r="L9" s="21">
        <f t="shared" si="1"/>
        <v>0</v>
      </c>
      <c r="M9" s="21">
        <f t="shared" si="1"/>
        <v>3.814697265625E-6</v>
      </c>
      <c r="N9" s="21">
        <f t="shared" si="1"/>
        <v>4.76837158203125E-7</v>
      </c>
      <c r="O9" s="21">
        <f t="shared" si="1"/>
        <v>0</v>
      </c>
      <c r="P9" s="22"/>
      <c r="Q9" s="22"/>
      <c r="R9" s="23">
        <f>T141+U141</f>
        <v>2429.6759379699997</v>
      </c>
      <c r="S9" s="24"/>
      <c r="T9" s="24"/>
      <c r="U9" s="24"/>
      <c r="V9" s="24"/>
      <c r="W9" s="24"/>
      <c r="X9" s="23">
        <f>Z141+AA141</f>
        <v>2366.5280214799996</v>
      </c>
      <c r="Y9" s="22"/>
      <c r="Z9" s="22"/>
      <c r="AA9" s="22"/>
      <c r="AB9" s="22"/>
      <c r="AC9" s="22"/>
      <c r="AD9" s="22"/>
      <c r="AE9" s="22"/>
      <c r="AF9" s="22"/>
      <c r="AG9" s="25"/>
      <c r="AH9" s="26"/>
    </row>
    <row r="10" spans="1:38" s="35" customFormat="1" hidden="1" x14ac:dyDescent="0.25">
      <c r="A10" s="150" t="s">
        <v>28</v>
      </c>
      <c r="B10" s="336">
        <v>106871033698.53999</v>
      </c>
      <c r="C10" s="336">
        <v>34825830201.07</v>
      </c>
      <c r="D10" s="336">
        <v>91371968700</v>
      </c>
      <c r="E10" s="151">
        <f>F10+G10+H10-E141</f>
        <v>47895219261.639999</v>
      </c>
      <c r="F10" s="336">
        <v>26127707656.560001</v>
      </c>
      <c r="G10" s="336">
        <v>20888785348.75</v>
      </c>
      <c r="H10" s="336">
        <v>3308402194.3000002</v>
      </c>
      <c r="I10" s="336">
        <v>113301392554.49001</v>
      </c>
      <c r="J10" s="336">
        <v>36568025374.949997</v>
      </c>
      <c r="K10" s="336">
        <v>98008809840.300003</v>
      </c>
      <c r="L10" s="151">
        <f>+M10+N10+O10-L141</f>
        <v>49494080067.660004</v>
      </c>
      <c r="M10" s="337">
        <v>28547116311.950001</v>
      </c>
      <c r="N10" s="337">
        <v>20060276973</v>
      </c>
      <c r="O10" s="337">
        <v>3253214804.1900001</v>
      </c>
      <c r="P10" s="31">
        <f t="shared" ref="P10:P43" si="2">B10/1000000</f>
        <v>106871.03369853999</v>
      </c>
      <c r="Q10" s="31">
        <f t="shared" ref="Q10:V25" si="3">D10/1000000</f>
        <v>91371.968699999998</v>
      </c>
      <c r="R10" s="31">
        <f t="shared" si="3"/>
        <v>47895.219261639999</v>
      </c>
      <c r="S10" s="31">
        <f t="shared" si="3"/>
        <v>26127.70765656</v>
      </c>
      <c r="T10" s="31">
        <f t="shared" si="3"/>
        <v>20888.78534875</v>
      </c>
      <c r="U10" s="31">
        <f t="shared" si="3"/>
        <v>3308.4021943000002</v>
      </c>
      <c r="V10" s="31">
        <f t="shared" si="3"/>
        <v>113301.39255449001</v>
      </c>
      <c r="W10" s="31">
        <f t="shared" ref="W10:AA38" si="4">K10/1000000</f>
        <v>98008.809840300004</v>
      </c>
      <c r="X10" s="31">
        <f t="shared" si="4"/>
        <v>49494.080067660005</v>
      </c>
      <c r="Y10" s="31">
        <f t="shared" si="4"/>
        <v>28547.116311950002</v>
      </c>
      <c r="Z10" s="31">
        <f t="shared" si="4"/>
        <v>20060.276973</v>
      </c>
      <c r="AA10" s="31">
        <f t="shared" si="4"/>
        <v>3253.21480419</v>
      </c>
      <c r="AB10" s="152">
        <f t="shared" ref="AB10:AG11" si="5">V10/P10%</f>
        <v>106.01693333863381</v>
      </c>
      <c r="AC10" s="152">
        <f t="shared" si="5"/>
        <v>107.26354180032021</v>
      </c>
      <c r="AD10" s="31">
        <f t="shared" si="5"/>
        <v>103.33824717929741</v>
      </c>
      <c r="AE10" s="31">
        <f t="shared" si="5"/>
        <v>109.25993465325134</v>
      </c>
      <c r="AF10" s="31">
        <f t="shared" si="5"/>
        <v>96.033716839358604</v>
      </c>
      <c r="AG10" s="32">
        <f t="shared" si="5"/>
        <v>98.331902021916136</v>
      </c>
      <c r="AH10" s="33"/>
    </row>
    <row r="11" spans="1:38" s="35" customFormat="1" x14ac:dyDescent="0.25">
      <c r="A11" s="30" t="s">
        <v>29</v>
      </c>
      <c r="B11" s="336">
        <v>70279115156.449997</v>
      </c>
      <c r="C11" s="336">
        <v>711608.75</v>
      </c>
      <c r="D11" s="336">
        <v>55501042100</v>
      </c>
      <c r="E11" s="338">
        <f>F11+G11+H11</f>
        <v>14778784665.200001</v>
      </c>
      <c r="F11" s="336">
        <v>10769279443.17</v>
      </c>
      <c r="G11" s="336">
        <v>2944456139.2800002</v>
      </c>
      <c r="H11" s="336">
        <v>1065049082.75</v>
      </c>
      <c r="I11" s="336">
        <v>70853439682.160004</v>
      </c>
      <c r="J11" s="336">
        <v>711608.75</v>
      </c>
      <c r="K11" s="336">
        <v>55602361730</v>
      </c>
      <c r="L11" s="338">
        <f>M11+N11+O11</f>
        <v>15251789560.909998</v>
      </c>
      <c r="M11" s="336">
        <v>11208033771.889999</v>
      </c>
      <c r="N11" s="336">
        <v>2973470079.4699998</v>
      </c>
      <c r="O11" s="336">
        <v>1070285709.55</v>
      </c>
      <c r="P11" s="31">
        <f t="shared" si="2"/>
        <v>70279.115156450003</v>
      </c>
      <c r="Q11" s="31">
        <f t="shared" si="3"/>
        <v>55501.042099999999</v>
      </c>
      <c r="R11" s="31">
        <f t="shared" si="3"/>
        <v>14778.784665200001</v>
      </c>
      <c r="S11" s="31">
        <f t="shared" si="3"/>
        <v>10769.27944317</v>
      </c>
      <c r="T11" s="31">
        <f t="shared" si="3"/>
        <v>2944.4561392800001</v>
      </c>
      <c r="U11" s="31">
        <f t="shared" si="3"/>
        <v>1065.04908275</v>
      </c>
      <c r="V11" s="31">
        <f t="shared" si="3"/>
        <v>70853.439682160009</v>
      </c>
      <c r="W11" s="31">
        <f t="shared" si="4"/>
        <v>55602.361729999997</v>
      </c>
      <c r="X11" s="31">
        <f t="shared" si="4"/>
        <v>15251.789560909998</v>
      </c>
      <c r="Y11" s="31">
        <f t="shared" si="4"/>
        <v>11208.033771889999</v>
      </c>
      <c r="Z11" s="31">
        <f t="shared" si="4"/>
        <v>2973.4700794699997</v>
      </c>
      <c r="AA11" s="31">
        <f t="shared" si="4"/>
        <v>1070.2857095499999</v>
      </c>
      <c r="AB11" s="31">
        <f t="shared" si="5"/>
        <v>100.81720511766758</v>
      </c>
      <c r="AC11" s="31">
        <f>W11/Q11%</f>
        <v>100.18255446414402</v>
      </c>
      <c r="AD11" s="31">
        <f t="shared" si="5"/>
        <v>103.20056693717038</v>
      </c>
      <c r="AE11" s="31">
        <f t="shared" si="5"/>
        <v>104.07412892418036</v>
      </c>
      <c r="AF11" s="31">
        <f t="shared" si="5"/>
        <v>100.98537518704879</v>
      </c>
      <c r="AG11" s="32">
        <f t="shared" si="5"/>
        <v>100.49167938687658</v>
      </c>
      <c r="AH11" s="33"/>
      <c r="AI11" s="34"/>
    </row>
    <row r="12" spans="1:38" x14ac:dyDescent="0.25">
      <c r="A12" s="36" t="s">
        <v>30</v>
      </c>
      <c r="B12" s="300">
        <v>12500000000</v>
      </c>
      <c r="C12" s="300">
        <v>0</v>
      </c>
      <c r="D12" s="300">
        <v>12500000000</v>
      </c>
      <c r="E12" s="338">
        <f t="shared" ref="E12:E27" si="6">F12+G12+H12</f>
        <v>0</v>
      </c>
      <c r="F12" s="300">
        <v>0</v>
      </c>
      <c r="G12" s="300">
        <v>0</v>
      </c>
      <c r="H12" s="300">
        <v>0</v>
      </c>
      <c r="I12" s="300">
        <v>12562103517.35</v>
      </c>
      <c r="J12" s="300">
        <v>0</v>
      </c>
      <c r="K12" s="300">
        <v>12562103517.35</v>
      </c>
      <c r="L12" s="338">
        <f t="shared" ref="L12:L28" si="7">M12+N12+O12</f>
        <v>0</v>
      </c>
      <c r="M12" s="300">
        <v>0</v>
      </c>
      <c r="N12" s="300">
        <v>0</v>
      </c>
      <c r="O12" s="300">
        <v>0</v>
      </c>
      <c r="P12" s="27">
        <f t="shared" si="2"/>
        <v>12500</v>
      </c>
      <c r="Q12" s="27">
        <f t="shared" si="3"/>
        <v>12500</v>
      </c>
      <c r="R12" s="27">
        <f t="shared" si="3"/>
        <v>0</v>
      </c>
      <c r="S12" s="27">
        <f t="shared" si="3"/>
        <v>0</v>
      </c>
      <c r="T12" s="27">
        <f t="shared" si="3"/>
        <v>0</v>
      </c>
      <c r="U12" s="27">
        <f t="shared" si="3"/>
        <v>0</v>
      </c>
      <c r="V12" s="27">
        <f t="shared" si="3"/>
        <v>12562.10351735</v>
      </c>
      <c r="W12" s="27">
        <f t="shared" si="4"/>
        <v>12562.10351735</v>
      </c>
      <c r="X12" s="27">
        <f t="shared" si="4"/>
        <v>0</v>
      </c>
      <c r="Y12" s="27">
        <f t="shared" si="4"/>
        <v>0</v>
      </c>
      <c r="Z12" s="27">
        <f t="shared" si="4"/>
        <v>0</v>
      </c>
      <c r="AA12" s="27">
        <f t="shared" si="4"/>
        <v>0</v>
      </c>
      <c r="AB12" s="28">
        <f>V12/P12%</f>
        <v>100.4968281388</v>
      </c>
      <c r="AC12" s="28">
        <f>W12/Q12%</f>
        <v>100.4968281388</v>
      </c>
      <c r="AD12" s="28"/>
      <c r="AE12" s="28"/>
      <c r="AF12" s="28"/>
      <c r="AG12" s="37"/>
      <c r="AH12" s="33"/>
      <c r="AI12" s="6"/>
      <c r="AJ12" s="6"/>
      <c r="AK12" s="6"/>
    </row>
    <row r="13" spans="1:38" x14ac:dyDescent="0.25">
      <c r="A13" s="36" t="s">
        <v>32</v>
      </c>
      <c r="B13" s="300">
        <v>30829898315.02</v>
      </c>
      <c r="C13" s="300">
        <v>0</v>
      </c>
      <c r="D13" s="300">
        <v>20372708900</v>
      </c>
      <c r="E13" s="338">
        <f t="shared" si="6"/>
        <v>10457189415.019999</v>
      </c>
      <c r="F13" s="300">
        <v>8015274812.0699997</v>
      </c>
      <c r="G13" s="300">
        <v>2019375521.3</v>
      </c>
      <c r="H13" s="300">
        <v>422539081.64999998</v>
      </c>
      <c r="I13" s="300">
        <v>31483505839.91</v>
      </c>
      <c r="J13" s="300">
        <v>0</v>
      </c>
      <c r="K13" s="300">
        <v>20664867348.540001</v>
      </c>
      <c r="L13" s="338">
        <f t="shared" si="7"/>
        <v>10818638491.370001</v>
      </c>
      <c r="M13" s="300">
        <v>8319134968.0900002</v>
      </c>
      <c r="N13" s="300">
        <v>2065446986.3299999</v>
      </c>
      <c r="O13" s="300">
        <v>434056536.94999999</v>
      </c>
      <c r="P13" s="27">
        <f t="shared" si="2"/>
        <v>30829.89831502</v>
      </c>
      <c r="Q13" s="27">
        <f t="shared" si="3"/>
        <v>20372.708900000001</v>
      </c>
      <c r="R13" s="27">
        <f t="shared" si="3"/>
        <v>10457.189415019999</v>
      </c>
      <c r="S13" s="27">
        <f t="shared" si="3"/>
        <v>8015.2748120699998</v>
      </c>
      <c r="T13" s="27">
        <f t="shared" si="3"/>
        <v>2019.3755212999999</v>
      </c>
      <c r="U13" s="27">
        <f t="shared" si="3"/>
        <v>422.53908164999996</v>
      </c>
      <c r="V13" s="27">
        <f t="shared" si="3"/>
        <v>31483.505839909998</v>
      </c>
      <c r="W13" s="27">
        <f t="shared" si="4"/>
        <v>20664.86734854</v>
      </c>
      <c r="X13" s="27">
        <f t="shared" si="4"/>
        <v>10818.63849137</v>
      </c>
      <c r="Y13" s="27">
        <f t="shared" si="4"/>
        <v>8319.1349680900003</v>
      </c>
      <c r="Z13" s="27">
        <f t="shared" si="4"/>
        <v>2065.4469863300001</v>
      </c>
      <c r="AA13" s="27">
        <f t="shared" si="4"/>
        <v>434.05653695000001</v>
      </c>
      <c r="AB13" s="28">
        <f>V13/P13%</f>
        <v>102.12004437449464</v>
      </c>
      <c r="AC13" s="28">
        <f>W13/Q13%</f>
        <v>101.43406775198167</v>
      </c>
      <c r="AD13" s="28">
        <f t="shared" ref="AD13:AG13" si="8">X13/R13%</f>
        <v>103.45646484925329</v>
      </c>
      <c r="AE13" s="28">
        <f t="shared" si="8"/>
        <v>103.79101357276515</v>
      </c>
      <c r="AF13" s="28">
        <f t="shared" si="8"/>
        <v>102.28147090741899</v>
      </c>
      <c r="AG13" s="37">
        <f t="shared" si="8"/>
        <v>102.72577278651357</v>
      </c>
      <c r="AH13" s="33"/>
      <c r="AJ13" s="6"/>
    </row>
    <row r="14" spans="1:38" x14ac:dyDescent="0.25">
      <c r="A14" s="36" t="s">
        <v>33</v>
      </c>
      <c r="B14" s="300">
        <v>7193648998.3800001</v>
      </c>
      <c r="C14" s="300">
        <v>0</v>
      </c>
      <c r="D14" s="300">
        <v>6817670800</v>
      </c>
      <c r="E14" s="338">
        <f t="shared" si="6"/>
        <v>375978198.38</v>
      </c>
      <c r="F14" s="300">
        <v>50180685.93</v>
      </c>
      <c r="G14" s="300">
        <v>265770553.43000001</v>
      </c>
      <c r="H14" s="300">
        <v>60026959.020000003</v>
      </c>
      <c r="I14" s="300">
        <v>6535848023.9099998</v>
      </c>
      <c r="J14" s="300">
        <v>0</v>
      </c>
      <c r="K14" s="300">
        <v>6193334894.3699999</v>
      </c>
      <c r="L14" s="338">
        <f t="shared" si="7"/>
        <v>342513129.54000002</v>
      </c>
      <c r="M14" s="300">
        <v>47840179.009999998</v>
      </c>
      <c r="N14" s="300">
        <v>242006761.78</v>
      </c>
      <c r="O14" s="300">
        <v>52666188.75</v>
      </c>
      <c r="P14" s="27">
        <f t="shared" si="2"/>
        <v>7193.6489983800002</v>
      </c>
      <c r="Q14" s="27">
        <f t="shared" si="3"/>
        <v>6817.6707999999999</v>
      </c>
      <c r="R14" s="27">
        <f t="shared" si="3"/>
        <v>375.97819837999998</v>
      </c>
      <c r="S14" s="27">
        <f t="shared" si="3"/>
        <v>50.180685930000003</v>
      </c>
      <c r="T14" s="27">
        <f t="shared" si="3"/>
        <v>265.77055343000001</v>
      </c>
      <c r="U14" s="27">
        <f t="shared" si="3"/>
        <v>60.026959020000007</v>
      </c>
      <c r="V14" s="27">
        <f t="shared" si="3"/>
        <v>6535.8480239099999</v>
      </c>
      <c r="W14" s="27">
        <f t="shared" si="4"/>
        <v>6193.3348943700003</v>
      </c>
      <c r="X14" s="27">
        <f t="shared" si="4"/>
        <v>342.51312954000002</v>
      </c>
      <c r="Y14" s="27">
        <f t="shared" si="4"/>
        <v>47.84017901</v>
      </c>
      <c r="Z14" s="27">
        <f t="shared" si="4"/>
        <v>242.00676178000001</v>
      </c>
      <c r="AA14" s="27">
        <f t="shared" si="4"/>
        <v>52.666188750000003</v>
      </c>
      <c r="AB14" s="28">
        <f t="shared" ref="AB14:AB30" si="9">V14/P14%</f>
        <v>90.855809414413514</v>
      </c>
      <c r="AC14" s="28">
        <f t="shared" ref="AC14" si="10">W14/Q14%</f>
        <v>90.842387027106085</v>
      </c>
      <c r="AD14" s="28">
        <f t="shared" ref="AD14:AD30" si="11">X14/R14%</f>
        <v>91.099199638651143</v>
      </c>
      <c r="AE14" s="28">
        <f t="shared" ref="AE14:AE30" si="12">Y14/S14%</f>
        <v>95.335841117706295</v>
      </c>
      <c r="AF14" s="28">
        <f t="shared" ref="AF14:AF30" si="13">Z14/T14%</f>
        <v>91.058530998521988</v>
      </c>
      <c r="AG14" s="37">
        <f t="shared" ref="AG14:AG29" si="14">AA14/U14%</f>
        <v>87.737559273080095</v>
      </c>
      <c r="AH14" s="33"/>
      <c r="AL14" s="6"/>
    </row>
    <row r="15" spans="1:38" x14ac:dyDescent="0.25">
      <c r="A15" s="36" t="s">
        <v>34</v>
      </c>
      <c r="B15" s="300">
        <v>3621628406.6999998</v>
      </c>
      <c r="C15" s="300">
        <v>0</v>
      </c>
      <c r="D15" s="300">
        <v>2702783000</v>
      </c>
      <c r="E15" s="338">
        <f t="shared" si="6"/>
        <v>918845406.70000005</v>
      </c>
      <c r="F15" s="300">
        <v>658781427</v>
      </c>
      <c r="G15" s="300">
        <v>254036604.24000001</v>
      </c>
      <c r="H15" s="300">
        <v>6027375.46</v>
      </c>
      <c r="I15" s="300">
        <v>4061741272.96</v>
      </c>
      <c r="J15" s="300">
        <v>0</v>
      </c>
      <c r="K15" s="300">
        <v>3180593812.9000001</v>
      </c>
      <c r="L15" s="338">
        <f t="shared" si="7"/>
        <v>881147460.05999994</v>
      </c>
      <c r="M15" s="300">
        <v>640243684.92999995</v>
      </c>
      <c r="N15" s="300">
        <v>233108139.25</v>
      </c>
      <c r="O15" s="300">
        <v>7795635.8799999999</v>
      </c>
      <c r="P15" s="27">
        <f t="shared" si="2"/>
        <v>3621.6284066999997</v>
      </c>
      <c r="Q15" s="27">
        <f t="shared" si="3"/>
        <v>2702.7829999999999</v>
      </c>
      <c r="R15" s="27">
        <f t="shared" si="3"/>
        <v>918.84540670000001</v>
      </c>
      <c r="S15" s="27">
        <f t="shared" si="3"/>
        <v>658.78142700000001</v>
      </c>
      <c r="T15" s="27">
        <f t="shared" si="3"/>
        <v>254.03660424</v>
      </c>
      <c r="U15" s="27">
        <f t="shared" si="3"/>
        <v>6.02737546</v>
      </c>
      <c r="V15" s="27">
        <f t="shared" si="3"/>
        <v>4061.7412729600001</v>
      </c>
      <c r="W15" s="27">
        <f t="shared" si="4"/>
        <v>3180.5938129000001</v>
      </c>
      <c r="X15" s="27">
        <f t="shared" si="4"/>
        <v>881.14746005999996</v>
      </c>
      <c r="Y15" s="27">
        <f t="shared" si="4"/>
        <v>640.24368492999997</v>
      </c>
      <c r="Z15" s="27">
        <f t="shared" si="4"/>
        <v>233.10813924999999</v>
      </c>
      <c r="AA15" s="27">
        <f t="shared" si="4"/>
        <v>7.7956358799999999</v>
      </c>
      <c r="AB15" s="28">
        <f t="shared" ref="AB15:AB26" si="15">V15/P15%</f>
        <v>112.152347420453</v>
      </c>
      <c r="AC15" s="28">
        <f t="shared" ref="AC15:AC25" si="16">W15/Q15%</f>
        <v>117.67847484981222</v>
      </c>
      <c r="AD15" s="28">
        <f t="shared" ref="AD15:AD26" si="17">X15/R15%</f>
        <v>95.897248180693325</v>
      </c>
      <c r="AE15" s="28">
        <f t="shared" ref="AE15:AE26" si="18">Y15/S15%</f>
        <v>97.186055752297335</v>
      </c>
      <c r="AF15" s="28">
        <f t="shared" ref="AF15:AF25" si="19">Z15/T15%</f>
        <v>91.761634094971626</v>
      </c>
      <c r="AG15" s="37">
        <f t="shared" ref="AG15:AG26" si="20">AA15/U15%</f>
        <v>129.33715398575816</v>
      </c>
      <c r="AH15" s="33"/>
      <c r="AL15" s="6"/>
    </row>
    <row r="16" spans="1:38" x14ac:dyDescent="0.25">
      <c r="A16" s="36" t="s">
        <v>35</v>
      </c>
      <c r="B16" s="300">
        <v>9438235493.8799992</v>
      </c>
      <c r="C16" s="300">
        <v>0</v>
      </c>
      <c r="D16" s="300">
        <v>8504980000</v>
      </c>
      <c r="E16" s="338">
        <f t="shared" si="6"/>
        <v>933255493.88000011</v>
      </c>
      <c r="F16" s="300">
        <v>601805411.45000005</v>
      </c>
      <c r="G16" s="300">
        <v>0</v>
      </c>
      <c r="H16" s="300">
        <v>331450082.43000001</v>
      </c>
      <c r="I16" s="300">
        <v>9444825311</v>
      </c>
      <c r="J16" s="300">
        <v>0</v>
      </c>
      <c r="K16" s="300">
        <v>8536142277.29</v>
      </c>
      <c r="L16" s="338">
        <f t="shared" si="7"/>
        <v>908683033.71000004</v>
      </c>
      <c r="M16" s="300">
        <v>584048129.26999998</v>
      </c>
      <c r="N16" s="300">
        <v>0</v>
      </c>
      <c r="O16" s="300">
        <v>324634904.44</v>
      </c>
      <c r="P16" s="27">
        <f t="shared" si="2"/>
        <v>9438.2354938799999</v>
      </c>
      <c r="Q16" s="27">
        <f t="shared" si="3"/>
        <v>8504.98</v>
      </c>
      <c r="R16" s="27">
        <f t="shared" si="3"/>
        <v>933.25549388000013</v>
      </c>
      <c r="S16" s="27">
        <f t="shared" si="3"/>
        <v>601.80541145000007</v>
      </c>
      <c r="T16" s="27">
        <f t="shared" si="3"/>
        <v>0</v>
      </c>
      <c r="U16" s="27">
        <f t="shared" si="3"/>
        <v>331.45008243000001</v>
      </c>
      <c r="V16" s="27">
        <f t="shared" si="3"/>
        <v>9444.8253110000005</v>
      </c>
      <c r="W16" s="27">
        <f t="shared" si="4"/>
        <v>8536.1422772900005</v>
      </c>
      <c r="X16" s="27">
        <f t="shared" si="4"/>
        <v>908.68303371000002</v>
      </c>
      <c r="Y16" s="27">
        <f t="shared" si="4"/>
        <v>584.04812927</v>
      </c>
      <c r="Z16" s="27">
        <f t="shared" si="4"/>
        <v>0</v>
      </c>
      <c r="AA16" s="27">
        <f t="shared" si="4"/>
        <v>324.63490444000001</v>
      </c>
      <c r="AB16" s="28">
        <f t="shared" si="15"/>
        <v>100.06982043544339</v>
      </c>
      <c r="AC16" s="28">
        <f t="shared" si="16"/>
        <v>100.36640035943648</v>
      </c>
      <c r="AD16" s="28">
        <f t="shared" si="17"/>
        <v>97.367016821102183</v>
      </c>
      <c r="AE16" s="28">
        <f t="shared" si="18"/>
        <v>97.049331587561596</v>
      </c>
      <c r="AF16" s="28"/>
      <c r="AG16" s="37">
        <f t="shared" si="20"/>
        <v>97.943829749555334</v>
      </c>
      <c r="AH16" s="33"/>
    </row>
    <row r="17" spans="1:39" ht="26.4" x14ac:dyDescent="0.25">
      <c r="A17" s="36" t="s">
        <v>36</v>
      </c>
      <c r="B17" s="300">
        <v>2931854000</v>
      </c>
      <c r="C17" s="300">
        <v>0</v>
      </c>
      <c r="D17" s="300">
        <v>2931854000</v>
      </c>
      <c r="E17" s="338">
        <f t="shared" si="6"/>
        <v>0</v>
      </c>
      <c r="F17" s="38">
        <v>0</v>
      </c>
      <c r="G17" s="38">
        <v>0</v>
      </c>
      <c r="H17" s="38">
        <v>0</v>
      </c>
      <c r="I17" s="339">
        <v>2541021685.71</v>
      </c>
      <c r="J17" s="339">
        <v>0</v>
      </c>
      <c r="K17" s="339">
        <v>2541021685.71</v>
      </c>
      <c r="L17" s="338">
        <f t="shared" si="7"/>
        <v>0</v>
      </c>
      <c r="M17" s="39">
        <v>0</v>
      </c>
      <c r="N17" s="39">
        <v>0</v>
      </c>
      <c r="O17" s="39">
        <v>0</v>
      </c>
      <c r="P17" s="27">
        <f t="shared" si="2"/>
        <v>2931.8539999999998</v>
      </c>
      <c r="Q17" s="27">
        <f t="shared" si="3"/>
        <v>2931.8539999999998</v>
      </c>
      <c r="R17" s="27">
        <f t="shared" si="3"/>
        <v>0</v>
      </c>
      <c r="S17" s="27">
        <f t="shared" si="3"/>
        <v>0</v>
      </c>
      <c r="T17" s="27">
        <f t="shared" si="3"/>
        <v>0</v>
      </c>
      <c r="U17" s="27">
        <f t="shared" si="3"/>
        <v>0</v>
      </c>
      <c r="V17" s="27">
        <f t="shared" si="3"/>
        <v>2541.0216857099999</v>
      </c>
      <c r="W17" s="27">
        <f t="shared" si="4"/>
        <v>2541.0216857099999</v>
      </c>
      <c r="X17" s="27">
        <f t="shared" si="4"/>
        <v>0</v>
      </c>
      <c r="Y17" s="27">
        <f t="shared" si="4"/>
        <v>0</v>
      </c>
      <c r="Z17" s="27">
        <f t="shared" si="4"/>
        <v>0</v>
      </c>
      <c r="AA17" s="27">
        <f t="shared" si="4"/>
        <v>0</v>
      </c>
      <c r="AB17" s="28">
        <f t="shared" si="15"/>
        <v>86.669448264135937</v>
      </c>
      <c r="AC17" s="28">
        <f t="shared" si="16"/>
        <v>86.669448264135937</v>
      </c>
      <c r="AD17" s="28"/>
      <c r="AE17" s="28"/>
      <c r="AF17" s="28"/>
      <c r="AG17" s="37"/>
      <c r="AH17" s="33"/>
    </row>
    <row r="18" spans="1:39" x14ac:dyDescent="0.25">
      <c r="A18" s="36" t="s">
        <v>37</v>
      </c>
      <c r="B18" s="300">
        <v>377025607.48000002</v>
      </c>
      <c r="C18" s="300">
        <v>0</v>
      </c>
      <c r="D18" s="300">
        <v>161162500</v>
      </c>
      <c r="E18" s="338">
        <f t="shared" si="6"/>
        <v>215863107.47999999</v>
      </c>
      <c r="F18" s="300">
        <v>160045500</v>
      </c>
      <c r="G18" s="300">
        <v>53921665</v>
      </c>
      <c r="H18" s="300">
        <v>1895942.48</v>
      </c>
      <c r="I18" s="300">
        <v>328822365.55000001</v>
      </c>
      <c r="J18" s="300">
        <v>0</v>
      </c>
      <c r="K18" s="339">
        <v>107874263.06999999</v>
      </c>
      <c r="L18" s="338">
        <f t="shared" si="7"/>
        <v>220948102.48000002</v>
      </c>
      <c r="M18" s="300">
        <v>165432245.22999999</v>
      </c>
      <c r="N18" s="300">
        <v>53959336.700000003</v>
      </c>
      <c r="O18" s="300">
        <v>1556520.55</v>
      </c>
      <c r="P18" s="27">
        <f t="shared" si="2"/>
        <v>377.02560748000002</v>
      </c>
      <c r="Q18" s="27">
        <f t="shared" si="3"/>
        <v>161.16249999999999</v>
      </c>
      <c r="R18" s="27">
        <f t="shared" si="3"/>
        <v>215.86310748</v>
      </c>
      <c r="S18" s="27">
        <f t="shared" si="3"/>
        <v>160.0455</v>
      </c>
      <c r="T18" s="27">
        <f t="shared" si="3"/>
        <v>53.921664999999997</v>
      </c>
      <c r="U18" s="27">
        <f t="shared" si="3"/>
        <v>1.89594248</v>
      </c>
      <c r="V18" s="27">
        <f t="shared" si="3"/>
        <v>328.82236555000003</v>
      </c>
      <c r="W18" s="27">
        <f t="shared" si="4"/>
        <v>107.87426307</v>
      </c>
      <c r="X18" s="27">
        <f t="shared" si="4"/>
        <v>220.94810248000002</v>
      </c>
      <c r="Y18" s="27">
        <f t="shared" si="4"/>
        <v>165.43224522999998</v>
      </c>
      <c r="Z18" s="27">
        <f t="shared" si="4"/>
        <v>53.959336700000001</v>
      </c>
      <c r="AA18" s="27">
        <f t="shared" si="4"/>
        <v>1.5565205500000001</v>
      </c>
      <c r="AB18" s="28">
        <f t="shared" si="15"/>
        <v>87.214862605172769</v>
      </c>
      <c r="AC18" s="28">
        <f t="shared" si="16"/>
        <v>66.935089161560541</v>
      </c>
      <c r="AD18" s="28">
        <f t="shared" si="17"/>
        <v>102.3556572771339</v>
      </c>
      <c r="AE18" s="28">
        <f t="shared" si="18"/>
        <v>103.36575863113926</v>
      </c>
      <c r="AF18" s="28">
        <f t="shared" si="19"/>
        <v>100.06986375513442</v>
      </c>
      <c r="AG18" s="37">
        <f t="shared" si="20"/>
        <v>82.09745635321174</v>
      </c>
      <c r="AH18" s="33"/>
    </row>
    <row r="19" spans="1:39" ht="26.4" hidden="1" x14ac:dyDescent="0.25">
      <c r="A19" s="36" t="s">
        <v>38</v>
      </c>
      <c r="B19" s="300">
        <v>1013.33</v>
      </c>
      <c r="C19" s="300">
        <v>0</v>
      </c>
      <c r="D19" s="300">
        <v>0</v>
      </c>
      <c r="E19" s="338">
        <f t="shared" si="6"/>
        <v>1013.33</v>
      </c>
      <c r="F19" s="300">
        <v>1000</v>
      </c>
      <c r="G19" s="300">
        <v>0</v>
      </c>
      <c r="H19" s="300">
        <v>13.33</v>
      </c>
      <c r="I19" s="300">
        <v>28865.18</v>
      </c>
      <c r="J19" s="300">
        <v>0</v>
      </c>
      <c r="K19" s="300">
        <v>30599.41</v>
      </c>
      <c r="L19" s="338">
        <f t="shared" si="7"/>
        <v>-1734.2299999999996</v>
      </c>
      <c r="M19" s="300">
        <v>-10380.17</v>
      </c>
      <c r="N19" s="300">
        <v>4865.5200000000004</v>
      </c>
      <c r="O19" s="300">
        <v>3780.42</v>
      </c>
      <c r="P19" s="27">
        <f t="shared" si="2"/>
        <v>1.01333E-3</v>
      </c>
      <c r="Q19" s="27">
        <f t="shared" si="3"/>
        <v>0</v>
      </c>
      <c r="R19" s="27">
        <f t="shared" si="3"/>
        <v>1.01333E-3</v>
      </c>
      <c r="S19" s="27">
        <f t="shared" si="3"/>
        <v>1E-3</v>
      </c>
      <c r="T19" s="27">
        <f t="shared" si="3"/>
        <v>0</v>
      </c>
      <c r="U19" s="27">
        <f t="shared" si="3"/>
        <v>1.3329999999999999E-5</v>
      </c>
      <c r="V19" s="27">
        <f t="shared" si="3"/>
        <v>2.8865180000000001E-2</v>
      </c>
      <c r="W19" s="27">
        <f t="shared" si="4"/>
        <v>3.059941E-2</v>
      </c>
      <c r="X19" s="27">
        <f t="shared" si="4"/>
        <v>-1.7342299999999996E-3</v>
      </c>
      <c r="Y19" s="27">
        <f t="shared" si="4"/>
        <v>-1.0380169999999999E-2</v>
      </c>
      <c r="Z19" s="27">
        <f t="shared" si="4"/>
        <v>4.8655200000000008E-3</v>
      </c>
      <c r="AA19" s="27">
        <f t="shared" si="4"/>
        <v>3.78042E-3</v>
      </c>
      <c r="AB19" s="28"/>
      <c r="AC19" s="28"/>
      <c r="AD19" s="28"/>
      <c r="AE19" s="28"/>
      <c r="AF19" s="28"/>
      <c r="AG19" s="37"/>
      <c r="AH19" s="33">
        <f>AA19/U19</f>
        <v>283.60240060015008</v>
      </c>
      <c r="AI19" s="41"/>
    </row>
    <row r="20" spans="1:39" ht="27.75" customHeight="1" x14ac:dyDescent="0.25">
      <c r="A20" s="36" t="s">
        <v>39</v>
      </c>
      <c r="B20" s="300">
        <v>1198399998.5699999</v>
      </c>
      <c r="C20" s="300">
        <v>711608.75</v>
      </c>
      <c r="D20" s="300">
        <v>33414200</v>
      </c>
      <c r="E20" s="338">
        <f t="shared" si="6"/>
        <v>1165697407.3199999</v>
      </c>
      <c r="F20" s="300">
        <v>786509481.23000002</v>
      </c>
      <c r="G20" s="300">
        <v>205813868.38</v>
      </c>
      <c r="H20" s="300">
        <v>173374057.71000001</v>
      </c>
      <c r="I20" s="300">
        <v>1280074153.98</v>
      </c>
      <c r="J20" s="300">
        <v>711608.75</v>
      </c>
      <c r="K20" s="300">
        <v>44880628.890000001</v>
      </c>
      <c r="L20" s="338">
        <f t="shared" si="7"/>
        <v>1235905133.8399999</v>
      </c>
      <c r="M20" s="300">
        <v>845210067.99000001</v>
      </c>
      <c r="N20" s="300">
        <v>209663206.80000001</v>
      </c>
      <c r="O20" s="300">
        <v>181031859.05000001</v>
      </c>
      <c r="P20" s="27">
        <f t="shared" si="2"/>
        <v>1198.39999857</v>
      </c>
      <c r="Q20" s="27">
        <f t="shared" si="3"/>
        <v>33.414200000000001</v>
      </c>
      <c r="R20" s="27">
        <f t="shared" si="3"/>
        <v>1165.6974073199999</v>
      </c>
      <c r="S20" s="27">
        <f t="shared" si="3"/>
        <v>786.50948123000001</v>
      </c>
      <c r="T20" s="27">
        <f t="shared" si="3"/>
        <v>205.81386838</v>
      </c>
      <c r="U20" s="27">
        <f t="shared" si="3"/>
        <v>173.37405771000002</v>
      </c>
      <c r="V20" s="27">
        <f t="shared" si="3"/>
        <v>1280.0741539800001</v>
      </c>
      <c r="W20" s="27">
        <f t="shared" si="4"/>
        <v>44.880628890000004</v>
      </c>
      <c r="X20" s="27">
        <f t="shared" si="4"/>
        <v>1235.90513384</v>
      </c>
      <c r="Y20" s="27">
        <f t="shared" si="4"/>
        <v>845.21006798999997</v>
      </c>
      <c r="Z20" s="27">
        <f t="shared" si="4"/>
        <v>209.66320680000001</v>
      </c>
      <c r="AA20" s="27">
        <f t="shared" si="4"/>
        <v>181.03185905000001</v>
      </c>
      <c r="AB20" s="28">
        <f t="shared" si="15"/>
        <v>106.81526664781862</v>
      </c>
      <c r="AC20" s="28">
        <f t="shared" si="16"/>
        <v>134.31603596674469</v>
      </c>
      <c r="AD20" s="28">
        <f t="shared" si="17"/>
        <v>106.0228088420829</v>
      </c>
      <c r="AE20" s="28">
        <f t="shared" si="18"/>
        <v>107.4634302778143</v>
      </c>
      <c r="AF20" s="28">
        <f t="shared" si="19"/>
        <v>101.87030079668531</v>
      </c>
      <c r="AG20" s="37">
        <f t="shared" si="20"/>
        <v>104.41692456250236</v>
      </c>
      <c r="AH20" s="33"/>
      <c r="AK20" s="6"/>
      <c r="AL20" s="6"/>
      <c r="AM20" s="6"/>
    </row>
    <row r="21" spans="1:39" x14ac:dyDescent="0.25">
      <c r="A21" s="36" t="s">
        <v>40</v>
      </c>
      <c r="B21" s="300">
        <v>1162447824.22</v>
      </c>
      <c r="C21" s="300">
        <v>0</v>
      </c>
      <c r="D21" s="300">
        <v>1060091400</v>
      </c>
      <c r="E21" s="338">
        <f t="shared" si="6"/>
        <v>102356424.22</v>
      </c>
      <c r="F21" s="300">
        <v>68058704.219999999</v>
      </c>
      <c r="G21" s="300">
        <v>34297720</v>
      </c>
      <c r="H21" s="300">
        <v>0</v>
      </c>
      <c r="I21" s="300">
        <v>1285315575.6099999</v>
      </c>
      <c r="J21" s="300">
        <v>0</v>
      </c>
      <c r="K21" s="300">
        <v>1142707428.6500001</v>
      </c>
      <c r="L21" s="338">
        <f t="shared" si="7"/>
        <v>142608146.96000001</v>
      </c>
      <c r="M21" s="300">
        <v>106129899.68000001</v>
      </c>
      <c r="N21" s="300">
        <v>36478247.280000001</v>
      </c>
      <c r="O21" s="300">
        <v>0</v>
      </c>
      <c r="P21" s="27">
        <f t="shared" si="2"/>
        <v>1162.44782422</v>
      </c>
      <c r="Q21" s="27">
        <f t="shared" si="3"/>
        <v>1060.0914</v>
      </c>
      <c r="R21" s="27">
        <f t="shared" si="3"/>
        <v>102.35642421999999</v>
      </c>
      <c r="S21" s="27">
        <f t="shared" si="3"/>
        <v>68.058704219999996</v>
      </c>
      <c r="T21" s="27">
        <f t="shared" si="3"/>
        <v>34.297719999999998</v>
      </c>
      <c r="U21" s="27">
        <f t="shared" si="3"/>
        <v>0</v>
      </c>
      <c r="V21" s="27">
        <f t="shared" si="3"/>
        <v>1285.31557561</v>
      </c>
      <c r="W21" s="27">
        <f t="shared" si="4"/>
        <v>1142.7074286500001</v>
      </c>
      <c r="X21" s="27">
        <f t="shared" si="4"/>
        <v>142.60814696</v>
      </c>
      <c r="Y21" s="27">
        <f t="shared" si="4"/>
        <v>106.12989968000001</v>
      </c>
      <c r="Z21" s="27">
        <f t="shared" si="4"/>
        <v>36.478247279999998</v>
      </c>
      <c r="AA21" s="27">
        <f t="shared" si="4"/>
        <v>0</v>
      </c>
      <c r="AB21" s="28">
        <f t="shared" si="15"/>
        <v>110.5697433321314</v>
      </c>
      <c r="AC21" s="28">
        <f t="shared" si="16"/>
        <v>107.79329297926577</v>
      </c>
      <c r="AD21" s="28">
        <f t="shared" si="17"/>
        <v>139.32505755914733</v>
      </c>
      <c r="AE21" s="28">
        <f t="shared" si="18"/>
        <v>155.93876036331039</v>
      </c>
      <c r="AF21" s="28">
        <f t="shared" si="19"/>
        <v>106.35764499797654</v>
      </c>
      <c r="AG21" s="37"/>
      <c r="AH21" s="33"/>
      <c r="AI21" s="6"/>
      <c r="AK21" s="6"/>
    </row>
    <row r="22" spans="1:39" ht="26.4" x14ac:dyDescent="0.25">
      <c r="A22" s="36" t="s">
        <v>41</v>
      </c>
      <c r="B22" s="300">
        <v>227320021.81</v>
      </c>
      <c r="C22" s="300">
        <v>0</v>
      </c>
      <c r="D22" s="300">
        <v>74879600</v>
      </c>
      <c r="E22" s="338">
        <f t="shared" si="6"/>
        <v>152440421.81</v>
      </c>
      <c r="F22" s="300">
        <v>108128091.34999999</v>
      </c>
      <c r="G22" s="300">
        <v>20921790.25</v>
      </c>
      <c r="H22" s="300">
        <v>23390540.210000001</v>
      </c>
      <c r="I22" s="300">
        <v>317060824.13999999</v>
      </c>
      <c r="J22" s="300">
        <v>0</v>
      </c>
      <c r="K22" s="300">
        <v>143821463.75999999</v>
      </c>
      <c r="L22" s="338">
        <f t="shared" si="7"/>
        <v>173239360.38</v>
      </c>
      <c r="M22" s="300">
        <v>129103687.59999999</v>
      </c>
      <c r="N22" s="300">
        <v>23112867.84</v>
      </c>
      <c r="O22" s="300">
        <v>21022804.939999998</v>
      </c>
      <c r="P22" s="27">
        <f t="shared" si="2"/>
        <v>227.32002181000001</v>
      </c>
      <c r="Q22" s="27">
        <f t="shared" si="3"/>
        <v>74.879599999999996</v>
      </c>
      <c r="R22" s="27">
        <f t="shared" si="3"/>
        <v>152.44042181</v>
      </c>
      <c r="S22" s="27">
        <f t="shared" si="3"/>
        <v>108.12809134999999</v>
      </c>
      <c r="T22" s="27">
        <f t="shared" si="3"/>
        <v>20.921790250000001</v>
      </c>
      <c r="U22" s="27">
        <f t="shared" si="3"/>
        <v>23.390540210000001</v>
      </c>
      <c r="V22" s="27">
        <f t="shared" si="3"/>
        <v>317.06082413999997</v>
      </c>
      <c r="W22" s="27">
        <f t="shared" si="4"/>
        <v>143.82146376</v>
      </c>
      <c r="X22" s="27">
        <f t="shared" si="4"/>
        <v>173.23936037999999</v>
      </c>
      <c r="Y22" s="27">
        <f t="shared" si="4"/>
        <v>129.1036876</v>
      </c>
      <c r="Z22" s="27">
        <f t="shared" si="4"/>
        <v>23.11286784</v>
      </c>
      <c r="AA22" s="27">
        <f t="shared" si="4"/>
        <v>21.022804939999997</v>
      </c>
      <c r="AB22" s="28">
        <f t="shared" si="15"/>
        <v>139.47773786728195</v>
      </c>
      <c r="AC22" s="28">
        <f t="shared" si="16"/>
        <v>192.07028851649849</v>
      </c>
      <c r="AD22" s="28">
        <f t="shared" si="17"/>
        <v>113.64397862656374</v>
      </c>
      <c r="AE22" s="28">
        <f t="shared" si="18"/>
        <v>119.39884075277355</v>
      </c>
      <c r="AF22" s="28">
        <f t="shared" si="19"/>
        <v>110.47270603432227</v>
      </c>
      <c r="AG22" s="37">
        <f t="shared" si="20"/>
        <v>89.877380989312329</v>
      </c>
      <c r="AH22" s="33"/>
    </row>
    <row r="23" spans="1:39" ht="26.4" x14ac:dyDescent="0.25">
      <c r="A23" s="36" t="s">
        <v>42</v>
      </c>
      <c r="B23" s="300">
        <v>310094905.58999997</v>
      </c>
      <c r="C23" s="300">
        <v>0</v>
      </c>
      <c r="D23" s="300">
        <v>200000</v>
      </c>
      <c r="E23" s="338">
        <f t="shared" si="6"/>
        <v>309894905.59000003</v>
      </c>
      <c r="F23" s="300">
        <v>211353567.75</v>
      </c>
      <c r="G23" s="300">
        <v>56966596.149999999</v>
      </c>
      <c r="H23" s="300">
        <v>41574741.689999998</v>
      </c>
      <c r="I23" s="300">
        <v>345316007.80000001</v>
      </c>
      <c r="J23" s="300">
        <v>0</v>
      </c>
      <c r="K23" s="300">
        <v>2140463.31</v>
      </c>
      <c r="L23" s="338">
        <f t="shared" si="7"/>
        <v>343175544.49000001</v>
      </c>
      <c r="M23" s="300">
        <v>232069645.03999999</v>
      </c>
      <c r="N23" s="300">
        <v>69440314.359999999</v>
      </c>
      <c r="O23" s="300">
        <v>41665585.090000004</v>
      </c>
      <c r="P23" s="27">
        <f t="shared" si="2"/>
        <v>310.09490559</v>
      </c>
      <c r="Q23" s="27">
        <f t="shared" si="3"/>
        <v>0.2</v>
      </c>
      <c r="R23" s="27">
        <f t="shared" si="3"/>
        <v>309.89490559000001</v>
      </c>
      <c r="S23" s="27">
        <f t="shared" si="3"/>
        <v>211.35356775</v>
      </c>
      <c r="T23" s="27">
        <f t="shared" si="3"/>
        <v>56.966596150000001</v>
      </c>
      <c r="U23" s="27">
        <f t="shared" si="3"/>
        <v>41.574741689999996</v>
      </c>
      <c r="V23" s="27">
        <f t="shared" si="3"/>
        <v>345.31600780000002</v>
      </c>
      <c r="W23" s="27">
        <f t="shared" si="4"/>
        <v>2.1404633099999999</v>
      </c>
      <c r="X23" s="27">
        <f t="shared" si="4"/>
        <v>343.17554448999999</v>
      </c>
      <c r="Y23" s="27">
        <f t="shared" si="4"/>
        <v>232.06964503999998</v>
      </c>
      <c r="Z23" s="27">
        <f t="shared" si="4"/>
        <v>69.440314360000002</v>
      </c>
      <c r="AA23" s="27">
        <f t="shared" si="4"/>
        <v>41.66558509</v>
      </c>
      <c r="AB23" s="28">
        <f t="shared" si="15"/>
        <v>111.35816860421708</v>
      </c>
      <c r="AC23" s="469" t="s">
        <v>646</v>
      </c>
      <c r="AD23" s="28">
        <f t="shared" si="17"/>
        <v>110.73933075364306</v>
      </c>
      <c r="AE23" s="28">
        <f t="shared" si="18"/>
        <v>109.80162176136248</v>
      </c>
      <c r="AF23" s="28">
        <f t="shared" si="19"/>
        <v>121.89654824584424</v>
      </c>
      <c r="AG23" s="37">
        <f t="shared" si="20"/>
        <v>100.21850622831857</v>
      </c>
      <c r="AH23" s="33"/>
      <c r="AJ23" s="6"/>
      <c r="AL23" s="6"/>
    </row>
    <row r="24" spans="1:39" x14ac:dyDescent="0.25">
      <c r="A24" s="36" t="s">
        <v>43</v>
      </c>
      <c r="B24" s="300">
        <v>140400</v>
      </c>
      <c r="C24" s="300">
        <v>0</v>
      </c>
      <c r="D24" s="300">
        <v>123400</v>
      </c>
      <c r="E24" s="338">
        <f t="shared" si="6"/>
        <v>17000</v>
      </c>
      <c r="F24" s="300">
        <v>0</v>
      </c>
      <c r="G24" s="300">
        <v>0</v>
      </c>
      <c r="H24" s="300">
        <v>17000</v>
      </c>
      <c r="I24" s="300">
        <v>1228485.79</v>
      </c>
      <c r="J24" s="300">
        <v>0</v>
      </c>
      <c r="K24" s="300">
        <v>1205235.23</v>
      </c>
      <c r="L24" s="338">
        <f t="shared" si="7"/>
        <v>23250.560000000001</v>
      </c>
      <c r="M24" s="300">
        <v>0</v>
      </c>
      <c r="N24" s="300">
        <v>0</v>
      </c>
      <c r="O24" s="300">
        <v>23250.560000000001</v>
      </c>
      <c r="P24" s="27">
        <f t="shared" si="2"/>
        <v>0.1404</v>
      </c>
      <c r="Q24" s="27">
        <f t="shared" si="3"/>
        <v>0.1234</v>
      </c>
      <c r="R24" s="27">
        <f t="shared" si="3"/>
        <v>1.7000000000000001E-2</v>
      </c>
      <c r="S24" s="27">
        <f t="shared" si="3"/>
        <v>0</v>
      </c>
      <c r="T24" s="27">
        <f t="shared" si="3"/>
        <v>0</v>
      </c>
      <c r="U24" s="27">
        <f t="shared" si="3"/>
        <v>1.7000000000000001E-2</v>
      </c>
      <c r="V24" s="27">
        <f t="shared" si="3"/>
        <v>1.2284857900000001</v>
      </c>
      <c r="W24" s="27">
        <f t="shared" si="4"/>
        <v>1.20523523</v>
      </c>
      <c r="X24" s="27">
        <f t="shared" si="4"/>
        <v>2.325056E-2</v>
      </c>
      <c r="Y24" s="27">
        <f t="shared" si="4"/>
        <v>0</v>
      </c>
      <c r="Z24" s="27">
        <f t="shared" si="4"/>
        <v>0</v>
      </c>
      <c r="AA24" s="27">
        <f t="shared" si="4"/>
        <v>2.325056E-2</v>
      </c>
      <c r="AB24" s="222" t="s">
        <v>647</v>
      </c>
      <c r="AC24" s="469" t="s">
        <v>648</v>
      </c>
      <c r="AD24" s="28">
        <f t="shared" si="17"/>
        <v>136.768</v>
      </c>
      <c r="AE24" s="28"/>
      <c r="AF24" s="28"/>
      <c r="AG24" s="37">
        <f t="shared" si="20"/>
        <v>136.768</v>
      </c>
      <c r="AH24" s="33"/>
    </row>
    <row r="25" spans="1:39" x14ac:dyDescent="0.25">
      <c r="A25" s="36" t="s">
        <v>44</v>
      </c>
      <c r="B25" s="300">
        <v>448023246.05000001</v>
      </c>
      <c r="C25" s="300">
        <v>0</v>
      </c>
      <c r="D25" s="300">
        <v>341174300</v>
      </c>
      <c r="E25" s="338">
        <f t="shared" si="6"/>
        <v>106848946.05</v>
      </c>
      <c r="F25" s="300">
        <v>72071563.170000002</v>
      </c>
      <c r="G25" s="300">
        <v>33082448.530000001</v>
      </c>
      <c r="H25" s="300">
        <v>1694934.35</v>
      </c>
      <c r="I25" s="300">
        <v>617381530.34000003</v>
      </c>
      <c r="J25" s="300">
        <v>0</v>
      </c>
      <c r="K25" s="300">
        <v>478280888.01999998</v>
      </c>
      <c r="L25" s="338">
        <f t="shared" si="7"/>
        <v>139100642.32000002</v>
      </c>
      <c r="M25" s="300">
        <v>97635996.430000007</v>
      </c>
      <c r="N25" s="300">
        <v>38816303.619999997</v>
      </c>
      <c r="O25" s="300">
        <v>2648342.27</v>
      </c>
      <c r="P25" s="27">
        <f t="shared" si="2"/>
        <v>448.02324605000001</v>
      </c>
      <c r="Q25" s="27">
        <f t="shared" si="3"/>
        <v>341.17430000000002</v>
      </c>
      <c r="R25" s="27">
        <f t="shared" si="3"/>
        <v>106.84894605</v>
      </c>
      <c r="S25" s="27">
        <f t="shared" si="3"/>
        <v>72.071563170000005</v>
      </c>
      <c r="T25" s="27">
        <f t="shared" si="3"/>
        <v>33.082448530000001</v>
      </c>
      <c r="U25" s="27">
        <f t="shared" si="3"/>
        <v>1.69493435</v>
      </c>
      <c r="V25" s="27">
        <f t="shared" si="3"/>
        <v>617.38153034000004</v>
      </c>
      <c r="W25" s="27">
        <f t="shared" si="4"/>
        <v>478.28088801999996</v>
      </c>
      <c r="X25" s="27">
        <f t="shared" si="4"/>
        <v>139.10064232000002</v>
      </c>
      <c r="Y25" s="27">
        <f t="shared" si="4"/>
        <v>97.635996430000006</v>
      </c>
      <c r="Z25" s="27">
        <f t="shared" si="4"/>
        <v>38.816303619999999</v>
      </c>
      <c r="AA25" s="27">
        <f t="shared" si="4"/>
        <v>2.6483422700000001</v>
      </c>
      <c r="AB25" s="28">
        <f t="shared" si="15"/>
        <v>137.80122700845291</v>
      </c>
      <c r="AC25" s="28">
        <f t="shared" si="16"/>
        <v>140.18666940036221</v>
      </c>
      <c r="AD25" s="28">
        <f t="shared" si="17"/>
        <v>130.18438408826967</v>
      </c>
      <c r="AE25" s="28">
        <f t="shared" si="18"/>
        <v>135.47090160886265</v>
      </c>
      <c r="AF25" s="28">
        <f t="shared" si="19"/>
        <v>117.33201544861588</v>
      </c>
      <c r="AG25" s="37">
        <f t="shared" si="20"/>
        <v>156.25043353449058</v>
      </c>
      <c r="AH25" s="33"/>
    </row>
    <row r="26" spans="1:39" ht="26.4" x14ac:dyDescent="0.25">
      <c r="A26" s="36" t="s">
        <v>45</v>
      </c>
      <c r="B26" s="300">
        <v>40396925.420000002</v>
      </c>
      <c r="C26" s="300">
        <v>0</v>
      </c>
      <c r="D26" s="300">
        <v>0</v>
      </c>
      <c r="E26" s="338">
        <f t="shared" si="6"/>
        <v>40396925.420000002</v>
      </c>
      <c r="F26" s="300">
        <v>37069199</v>
      </c>
      <c r="G26" s="300">
        <v>269372</v>
      </c>
      <c r="H26" s="300">
        <v>3058354.42</v>
      </c>
      <c r="I26" s="336">
        <v>49166222.93</v>
      </c>
      <c r="J26" s="336">
        <v>0</v>
      </c>
      <c r="K26" s="336">
        <v>3357223.5</v>
      </c>
      <c r="L26" s="338">
        <f t="shared" si="7"/>
        <v>45808999.43</v>
      </c>
      <c r="M26" s="300">
        <v>41195648.789999999</v>
      </c>
      <c r="N26" s="300">
        <v>1433049.99</v>
      </c>
      <c r="O26" s="300">
        <v>3180300.6500000004</v>
      </c>
      <c r="P26" s="27">
        <f t="shared" si="2"/>
        <v>40.396925420000002</v>
      </c>
      <c r="Q26" s="27">
        <f t="shared" ref="Q26:V38" si="21">D26/1000000</f>
        <v>0</v>
      </c>
      <c r="R26" s="27">
        <f t="shared" si="21"/>
        <v>40.396925420000002</v>
      </c>
      <c r="S26" s="27">
        <f t="shared" si="21"/>
        <v>37.069198999999998</v>
      </c>
      <c r="T26" s="27">
        <f t="shared" si="21"/>
        <v>0.269372</v>
      </c>
      <c r="U26" s="27">
        <f t="shared" si="21"/>
        <v>3.0583544200000001</v>
      </c>
      <c r="V26" s="27">
        <f t="shared" si="21"/>
        <v>49.166222929999996</v>
      </c>
      <c r="W26" s="27">
        <f t="shared" si="4"/>
        <v>3.3572234999999999</v>
      </c>
      <c r="X26" s="42">
        <f t="shared" si="4"/>
        <v>45.80899943</v>
      </c>
      <c r="Y26" s="27">
        <f t="shared" si="4"/>
        <v>41.19564879</v>
      </c>
      <c r="Z26" s="27">
        <f t="shared" si="4"/>
        <v>1.43304999</v>
      </c>
      <c r="AA26" s="27">
        <f t="shared" si="4"/>
        <v>3.1803006500000004</v>
      </c>
      <c r="AB26" s="28">
        <f t="shared" si="15"/>
        <v>121.70783399683786</v>
      </c>
      <c r="AC26" s="28"/>
      <c r="AD26" s="28">
        <f t="shared" si="17"/>
        <v>113.39724237360042</v>
      </c>
      <c r="AE26" s="28">
        <f t="shared" si="18"/>
        <v>111.1317479236603</v>
      </c>
      <c r="AF26" s="469" t="s">
        <v>649</v>
      </c>
      <c r="AG26" s="37">
        <f t="shared" si="20"/>
        <v>103.98731517846778</v>
      </c>
      <c r="AH26" s="33"/>
      <c r="AI26" s="44"/>
      <c r="AJ26" s="44"/>
    </row>
    <row r="27" spans="1:39" s="48" customFormat="1" hidden="1" x14ac:dyDescent="0.25">
      <c r="A27" s="45" t="s">
        <v>46</v>
      </c>
      <c r="B27" s="340">
        <v>-149000</v>
      </c>
      <c r="C27" s="340">
        <v>0</v>
      </c>
      <c r="D27" s="340">
        <v>0</v>
      </c>
      <c r="E27" s="338">
        <f t="shared" si="6"/>
        <v>-149000</v>
      </c>
      <c r="F27" s="340">
        <v>-149000</v>
      </c>
      <c r="G27" s="340">
        <v>0</v>
      </c>
      <c r="H27" s="340">
        <v>0</v>
      </c>
      <c r="I27" s="340">
        <v>3813184.28</v>
      </c>
      <c r="J27" s="340">
        <v>0</v>
      </c>
      <c r="K27" s="340">
        <v>3324800.86</v>
      </c>
      <c r="L27" s="338">
        <f t="shared" si="7"/>
        <v>488383.42000000004</v>
      </c>
      <c r="M27" s="340">
        <v>-111037.56</v>
      </c>
      <c r="N27" s="340">
        <v>575193.02</v>
      </c>
      <c r="O27" s="340">
        <v>24227.960000000003</v>
      </c>
      <c r="P27" s="46">
        <f t="shared" si="2"/>
        <v>-0.14899999999999999</v>
      </c>
      <c r="Q27" s="46"/>
      <c r="R27" s="46">
        <f t="shared" si="21"/>
        <v>-0.14899999999999999</v>
      </c>
      <c r="S27" s="46">
        <f t="shared" si="21"/>
        <v>-0.14899999999999999</v>
      </c>
      <c r="T27" s="46"/>
      <c r="U27" s="46">
        <f>H27/1000000</f>
        <v>0</v>
      </c>
      <c r="V27" s="46">
        <f t="shared" si="21"/>
        <v>3.8131842799999998</v>
      </c>
      <c r="W27" s="46">
        <f t="shared" si="4"/>
        <v>3.3248008599999999</v>
      </c>
      <c r="X27" s="46">
        <f t="shared" si="4"/>
        <v>0.48838342000000007</v>
      </c>
      <c r="Y27" s="46">
        <f t="shared" si="4"/>
        <v>-0.11103755999999999</v>
      </c>
      <c r="Z27" s="46">
        <f t="shared" si="4"/>
        <v>0.57519302000000005</v>
      </c>
      <c r="AA27" s="46">
        <f t="shared" si="4"/>
        <v>2.4227960000000003E-2</v>
      </c>
      <c r="AB27" s="364">
        <f t="shared" si="9"/>
        <v>-2559.1840805369125</v>
      </c>
      <c r="AC27" s="364"/>
      <c r="AD27" s="364">
        <f t="shared" si="11"/>
        <v>-327.77410738255037</v>
      </c>
      <c r="AE27" s="364">
        <f t="shared" si="12"/>
        <v>74.521852348993278</v>
      </c>
      <c r="AF27" s="364" t="e">
        <f t="shared" si="13"/>
        <v>#DIV/0!</v>
      </c>
      <c r="AG27" s="467" t="e">
        <f t="shared" si="14"/>
        <v>#DIV/0!</v>
      </c>
      <c r="AH27" s="468"/>
      <c r="AI27" s="47"/>
    </row>
    <row r="28" spans="1:39" s="52" customFormat="1" ht="26.4" hidden="1" x14ac:dyDescent="0.25">
      <c r="A28" s="36" t="s">
        <v>47</v>
      </c>
      <c r="B28" s="341"/>
      <c r="C28" s="341"/>
      <c r="D28" s="341"/>
      <c r="E28" s="342">
        <f>F28+G28+H28</f>
        <v>0</v>
      </c>
      <c r="F28" s="341"/>
      <c r="G28" s="341"/>
      <c r="H28" s="341"/>
      <c r="I28" s="341"/>
      <c r="J28" s="341"/>
      <c r="K28" s="341"/>
      <c r="L28" s="338">
        <f t="shared" si="7"/>
        <v>0</v>
      </c>
      <c r="M28" s="341"/>
      <c r="N28" s="341"/>
      <c r="O28" s="341"/>
      <c r="P28" s="27">
        <f t="shared" si="2"/>
        <v>0</v>
      </c>
      <c r="Q28" s="27">
        <f t="shared" ref="Q28:Q37" si="22">D28/1000000</f>
        <v>0</v>
      </c>
      <c r="R28" s="27">
        <f t="shared" si="21"/>
        <v>0</v>
      </c>
      <c r="S28" s="27">
        <f t="shared" si="21"/>
        <v>0</v>
      </c>
      <c r="T28" s="27">
        <f t="shared" si="21"/>
        <v>0</v>
      </c>
      <c r="U28" s="27">
        <f t="shared" si="21"/>
        <v>0</v>
      </c>
      <c r="V28" s="27">
        <f t="shared" si="21"/>
        <v>0</v>
      </c>
      <c r="W28" s="27">
        <f t="shared" si="4"/>
        <v>0</v>
      </c>
      <c r="X28" s="49">
        <f t="shared" si="4"/>
        <v>0</v>
      </c>
      <c r="Y28" s="27">
        <f t="shared" si="4"/>
        <v>0</v>
      </c>
      <c r="Z28" s="27">
        <f t="shared" si="4"/>
        <v>0</v>
      </c>
      <c r="AA28" s="49">
        <f t="shared" si="4"/>
        <v>0</v>
      </c>
      <c r="AB28" s="28"/>
      <c r="AC28" s="28"/>
      <c r="AD28" s="28"/>
      <c r="AE28" s="28"/>
      <c r="AF28" s="28"/>
      <c r="AG28" s="37"/>
      <c r="AH28" s="33"/>
      <c r="AI28" s="51"/>
    </row>
    <row r="29" spans="1:39" s="35" customFormat="1" x14ac:dyDescent="0.25">
      <c r="A29" s="30" t="s">
        <v>48</v>
      </c>
      <c r="B29" s="336">
        <v>36591918542.089996</v>
      </c>
      <c r="C29" s="336">
        <v>34825118592.32</v>
      </c>
      <c r="D29" s="336">
        <v>35870926600</v>
      </c>
      <c r="E29" s="151">
        <f>F29+G29+H29-E141</f>
        <v>33116434596.440002</v>
      </c>
      <c r="F29" s="336">
        <v>15358428213.389999</v>
      </c>
      <c r="G29" s="336">
        <v>17944329209.470001</v>
      </c>
      <c r="H29" s="336">
        <v>2243353111.5500002</v>
      </c>
      <c r="I29" s="336">
        <v>42447952872.330002</v>
      </c>
      <c r="J29" s="336">
        <v>36567313766.199997</v>
      </c>
      <c r="K29" s="336">
        <v>42406448110.300003</v>
      </c>
      <c r="L29" s="151">
        <f>M29+N29+O29-L141</f>
        <v>34242290506.750004</v>
      </c>
      <c r="M29" s="336">
        <v>17339082540.060001</v>
      </c>
      <c r="N29" s="336">
        <v>17086806893.530001</v>
      </c>
      <c r="O29" s="336">
        <v>2182929094.6399999</v>
      </c>
      <c r="P29" s="31">
        <f t="shared" si="2"/>
        <v>36591.918542089996</v>
      </c>
      <c r="Q29" s="31">
        <f t="shared" si="22"/>
        <v>35870.926599999999</v>
      </c>
      <c r="R29" s="31">
        <f t="shared" si="21"/>
        <v>33116.434596440005</v>
      </c>
      <c r="S29" s="31">
        <f t="shared" si="21"/>
        <v>15358.42821339</v>
      </c>
      <c r="T29" s="31">
        <f t="shared" si="21"/>
        <v>17944.329209470001</v>
      </c>
      <c r="U29" s="31">
        <f t="shared" si="21"/>
        <v>2243.35311155</v>
      </c>
      <c r="V29" s="31">
        <f t="shared" si="21"/>
        <v>42447.952872330003</v>
      </c>
      <c r="W29" s="31">
        <f t="shared" si="4"/>
        <v>42406.4481103</v>
      </c>
      <c r="X29" s="31">
        <f t="shared" si="4"/>
        <v>34242.290506750003</v>
      </c>
      <c r="Y29" s="31">
        <f t="shared" si="4"/>
        <v>17339.082540060001</v>
      </c>
      <c r="Z29" s="31">
        <f t="shared" si="4"/>
        <v>17086.80689353</v>
      </c>
      <c r="AA29" s="31">
        <f t="shared" si="4"/>
        <v>2182.9290946399997</v>
      </c>
      <c r="AB29" s="31">
        <f t="shared" si="9"/>
        <v>116.00362747720943</v>
      </c>
      <c r="AC29" s="31">
        <f t="shared" ref="AC29:AC30" si="23">W29/Q29%</f>
        <v>118.21955028700039</v>
      </c>
      <c r="AD29" s="31">
        <f t="shared" si="11"/>
        <v>103.39968938090644</v>
      </c>
      <c r="AE29" s="31">
        <f t="shared" si="12"/>
        <v>112.89620460603645</v>
      </c>
      <c r="AF29" s="31">
        <f t="shared" si="13"/>
        <v>95.221207179550348</v>
      </c>
      <c r="AG29" s="32">
        <f t="shared" si="14"/>
        <v>97.306531165383433</v>
      </c>
      <c r="AH29" s="33"/>
      <c r="AI29" s="53"/>
    </row>
    <row r="30" spans="1:39" s="59" customFormat="1" hidden="1" x14ac:dyDescent="0.25">
      <c r="A30" s="54" t="s">
        <v>49</v>
      </c>
      <c r="B30" s="343"/>
      <c r="C30" s="343"/>
      <c r="D30" s="343"/>
      <c r="E30" s="301"/>
      <c r="F30" s="343"/>
      <c r="G30" s="343"/>
      <c r="H30" s="343"/>
      <c r="I30" s="344"/>
      <c r="J30" s="344"/>
      <c r="K30" s="344"/>
      <c r="L30" s="301"/>
      <c r="M30" s="343"/>
      <c r="N30" s="343"/>
      <c r="O30" s="343"/>
      <c r="P30" s="49">
        <f>B30/1000000</f>
        <v>0</v>
      </c>
      <c r="Q30" s="49">
        <f t="shared" si="22"/>
        <v>0</v>
      </c>
      <c r="R30" s="49">
        <f>E30/1000000</f>
        <v>0</v>
      </c>
      <c r="S30" s="49">
        <f>F30/1000000</f>
        <v>0</v>
      </c>
      <c r="T30" s="49">
        <f>G30/1000000</f>
        <v>0</v>
      </c>
      <c r="U30" s="49">
        <f>H30/1000000</f>
        <v>0</v>
      </c>
      <c r="V30" s="49">
        <f>I30/1000000</f>
        <v>0</v>
      </c>
      <c r="W30" s="49">
        <f>K30/1000000</f>
        <v>0</v>
      </c>
      <c r="X30" s="49">
        <f>L30/1000000</f>
        <v>0</v>
      </c>
      <c r="Y30" s="49">
        <f>M30/1000000</f>
        <v>0</v>
      </c>
      <c r="Z30" s="49">
        <f>N30/1000000</f>
        <v>0</v>
      </c>
      <c r="AA30" s="49">
        <f>O30/1000000</f>
        <v>0</v>
      </c>
      <c r="AB30" s="50" t="e">
        <f t="shared" si="9"/>
        <v>#DIV/0!</v>
      </c>
      <c r="AC30" s="50" t="e">
        <f t="shared" si="23"/>
        <v>#DIV/0!</v>
      </c>
      <c r="AD30" s="50" t="e">
        <f t="shared" si="11"/>
        <v>#DIV/0!</v>
      </c>
      <c r="AE30" s="50" t="e">
        <f t="shared" si="12"/>
        <v>#DIV/0!</v>
      </c>
      <c r="AF30" s="50" t="e">
        <f t="shared" si="13"/>
        <v>#DIV/0!</v>
      </c>
      <c r="AG30" s="55"/>
      <c r="AH30" s="33"/>
      <c r="AI30" s="57"/>
      <c r="AJ30" s="58"/>
    </row>
    <row r="31" spans="1:39" x14ac:dyDescent="0.25">
      <c r="A31" s="36" t="s">
        <v>50</v>
      </c>
      <c r="B31" s="300">
        <v>33945125613.450001</v>
      </c>
      <c r="C31" s="300">
        <v>34825118592.32</v>
      </c>
      <c r="D31" s="300">
        <v>33265170100</v>
      </c>
      <c r="E31" s="302">
        <f>F31+G31+H31-G141-H141</f>
        <v>33075398167.800003</v>
      </c>
      <c r="F31" s="300">
        <v>15346533167.92</v>
      </c>
      <c r="G31" s="300">
        <v>17910865881.48</v>
      </c>
      <c r="H31" s="300">
        <v>2247675056.3699999</v>
      </c>
      <c r="I31" s="336">
        <v>42675252492.389999</v>
      </c>
      <c r="J31" s="336">
        <v>36567313766.199997</v>
      </c>
      <c r="K31" s="336">
        <v>42675252492.389999</v>
      </c>
      <c r="L31" s="302">
        <f>M31+N31+O31-N141-O141</f>
        <v>34200785744.720001</v>
      </c>
      <c r="M31" s="300">
        <v>17339966941.509998</v>
      </c>
      <c r="N31" s="300">
        <v>17039722970.209999</v>
      </c>
      <c r="O31" s="300">
        <v>2187623854.48</v>
      </c>
      <c r="P31" s="27">
        <f t="shared" si="2"/>
        <v>33945.12561345</v>
      </c>
      <c r="Q31" s="27">
        <f t="shared" si="22"/>
        <v>33265.170100000003</v>
      </c>
      <c r="R31" s="27">
        <f t="shared" si="21"/>
        <v>33075.398167800005</v>
      </c>
      <c r="S31" s="27">
        <f t="shared" si="21"/>
        <v>15346.533167920001</v>
      </c>
      <c r="T31" s="27">
        <f t="shared" si="21"/>
        <v>17910.86588148</v>
      </c>
      <c r="U31" s="27">
        <f t="shared" si="21"/>
        <v>2247.6750563699998</v>
      </c>
      <c r="V31" s="27">
        <f t="shared" si="21"/>
        <v>42675.252492389998</v>
      </c>
      <c r="W31" s="27">
        <f t="shared" si="4"/>
        <v>42675.252492389998</v>
      </c>
      <c r="X31" s="27">
        <f t="shared" si="4"/>
        <v>34200.78574472</v>
      </c>
      <c r="Y31" s="27">
        <f t="shared" si="4"/>
        <v>17339.96694151</v>
      </c>
      <c r="Z31" s="27">
        <f t="shared" si="4"/>
        <v>17039.722970209998</v>
      </c>
      <c r="AA31" s="27">
        <f t="shared" si="4"/>
        <v>2187.6238544799999</v>
      </c>
      <c r="AB31" s="27">
        <f t="shared" ref="AB31:AG38" si="24">V31/P31%</f>
        <v>125.71835196120435</v>
      </c>
      <c r="AC31" s="27">
        <f t="shared" si="24"/>
        <v>128.28809341452907</v>
      </c>
      <c r="AD31" s="27">
        <f t="shared" si="24"/>
        <v>103.40249139620516</v>
      </c>
      <c r="AE31" s="27">
        <f t="shared" si="24"/>
        <v>112.9894729433552</v>
      </c>
      <c r="AF31" s="27">
        <f t="shared" si="24"/>
        <v>95.136232290306111</v>
      </c>
      <c r="AG31" s="29">
        <f t="shared" si="24"/>
        <v>97.32829700094716</v>
      </c>
      <c r="AH31" s="33"/>
      <c r="AI31" s="6"/>
      <c r="AK31" s="2"/>
    </row>
    <row r="32" spans="1:39" ht="26.4" x14ac:dyDescent="0.25">
      <c r="A32" s="36" t="s">
        <v>51</v>
      </c>
      <c r="B32" s="300">
        <v>2068336000</v>
      </c>
      <c r="C32" s="300">
        <v>0</v>
      </c>
      <c r="D32" s="300">
        <v>2068162300</v>
      </c>
      <c r="E32" s="302">
        <f>F32+G32+H32</f>
        <v>173700</v>
      </c>
      <c r="F32" s="300">
        <v>0</v>
      </c>
      <c r="G32" s="300">
        <v>50000</v>
      </c>
      <c r="H32" s="300">
        <v>123700</v>
      </c>
      <c r="I32" s="336">
        <v>1328086839.9400001</v>
      </c>
      <c r="J32" s="336">
        <v>0</v>
      </c>
      <c r="K32" s="336">
        <v>1327913139.9400001</v>
      </c>
      <c r="L32" s="302">
        <f>M32+N32+O32</f>
        <v>173700</v>
      </c>
      <c r="M32" s="300">
        <v>0</v>
      </c>
      <c r="N32" s="300">
        <v>50000</v>
      </c>
      <c r="O32" s="300">
        <v>123700</v>
      </c>
      <c r="P32" s="27">
        <f>B32/1000000</f>
        <v>2068.3359999999998</v>
      </c>
      <c r="Q32" s="27">
        <f t="shared" si="22"/>
        <v>2068.1623</v>
      </c>
      <c r="R32" s="27">
        <f t="shared" si="21"/>
        <v>0.17369999999999999</v>
      </c>
      <c r="S32" s="27">
        <f t="shared" si="21"/>
        <v>0</v>
      </c>
      <c r="T32" s="27">
        <f t="shared" si="21"/>
        <v>0.05</v>
      </c>
      <c r="U32" s="27">
        <f t="shared" si="21"/>
        <v>0.1237</v>
      </c>
      <c r="V32" s="27">
        <f t="shared" si="21"/>
        <v>1328.0868399400001</v>
      </c>
      <c r="W32" s="27">
        <f t="shared" si="4"/>
        <v>1327.9131399400001</v>
      </c>
      <c r="X32" s="27">
        <f t="shared" si="4"/>
        <v>0.17369999999999999</v>
      </c>
      <c r="Y32" s="27">
        <f t="shared" si="4"/>
        <v>0</v>
      </c>
      <c r="Z32" s="27">
        <f t="shared" si="4"/>
        <v>0.05</v>
      </c>
      <c r="AA32" s="27">
        <f t="shared" si="4"/>
        <v>0.1237</v>
      </c>
      <c r="AB32" s="27">
        <f t="shared" ref="AB32:AB34" si="25">V32/P32%</f>
        <v>64.210401015115551</v>
      </c>
      <c r="AC32" s="27">
        <f t="shared" ref="AC32:AC34" si="26">W32/Q32%</f>
        <v>64.207395132383965</v>
      </c>
      <c r="AD32" s="27">
        <f t="shared" ref="AD32" si="27">X32/R32%</f>
        <v>100</v>
      </c>
      <c r="AE32" s="27"/>
      <c r="AF32" s="27">
        <f t="shared" ref="AF32" si="28">Z32/T32%</f>
        <v>100</v>
      </c>
      <c r="AG32" s="29">
        <f t="shared" ref="AG32" si="29">AA32/U32%</f>
        <v>100</v>
      </c>
      <c r="AH32" s="26"/>
      <c r="AI32" s="6"/>
    </row>
    <row r="33" spans="1:36" s="60" customFormat="1" ht="26.4" x14ac:dyDescent="0.25">
      <c r="A33" s="36" t="s">
        <v>52</v>
      </c>
      <c r="B33" s="300">
        <v>1033456</v>
      </c>
      <c r="C33" s="300">
        <v>0</v>
      </c>
      <c r="D33" s="300">
        <v>0</v>
      </c>
      <c r="E33" s="302">
        <f>F33+G33+H33</f>
        <v>1033456</v>
      </c>
      <c r="F33" s="300">
        <v>400000</v>
      </c>
      <c r="G33" s="300">
        <v>50000</v>
      </c>
      <c r="H33" s="300">
        <v>583456</v>
      </c>
      <c r="I33" s="300">
        <v>1426956</v>
      </c>
      <c r="J33" s="300">
        <v>0</v>
      </c>
      <c r="K33" s="300">
        <v>393500</v>
      </c>
      <c r="L33" s="302">
        <f>M33+N33+O33</f>
        <v>1033456</v>
      </c>
      <c r="M33" s="300">
        <v>400000</v>
      </c>
      <c r="N33" s="300">
        <v>50000</v>
      </c>
      <c r="O33" s="300">
        <v>583456</v>
      </c>
      <c r="P33" s="28">
        <f>B33/1000000</f>
        <v>1.0334559999999999</v>
      </c>
      <c r="Q33" s="28">
        <f t="shared" si="22"/>
        <v>0</v>
      </c>
      <c r="R33" s="28">
        <f>E33/1000000</f>
        <v>1.0334559999999999</v>
      </c>
      <c r="S33" s="28">
        <f>F33/1000000</f>
        <v>0.4</v>
      </c>
      <c r="T33" s="28">
        <f>G33/1000000</f>
        <v>0.05</v>
      </c>
      <c r="U33" s="28">
        <f>H33/1000000</f>
        <v>0.58345599999999997</v>
      </c>
      <c r="V33" s="28">
        <f>I33/1000000</f>
        <v>1.4269559999999999</v>
      </c>
      <c r="W33" s="28">
        <f t="shared" si="4"/>
        <v>0.39350000000000002</v>
      </c>
      <c r="X33" s="28">
        <f t="shared" si="4"/>
        <v>1.0334559999999999</v>
      </c>
      <c r="Y33" s="28">
        <f t="shared" si="4"/>
        <v>0.4</v>
      </c>
      <c r="Z33" s="28">
        <f t="shared" si="4"/>
        <v>0.05</v>
      </c>
      <c r="AA33" s="28">
        <f t="shared" si="4"/>
        <v>0.58345599999999997</v>
      </c>
      <c r="AB33" s="27">
        <f t="shared" si="25"/>
        <v>138.07612515675558</v>
      </c>
      <c r="AC33" s="27"/>
      <c r="AD33" s="27">
        <f t="shared" ref="AD33:AD34" si="30">X33/R33%</f>
        <v>100</v>
      </c>
      <c r="AE33" s="27"/>
      <c r="AF33" s="27">
        <f t="shared" ref="AF33:AF37" si="31">Z33/T33%</f>
        <v>100</v>
      </c>
      <c r="AG33" s="29">
        <f t="shared" ref="AG33:AG37" si="32">AA33/U33%</f>
        <v>100</v>
      </c>
      <c r="AH33" s="26"/>
      <c r="AI33" s="6"/>
      <c r="AJ33" s="3"/>
    </row>
    <row r="34" spans="1:36" x14ac:dyDescent="0.25">
      <c r="A34" s="36" t="s">
        <v>53</v>
      </c>
      <c r="B34" s="300">
        <v>611087814.85000002</v>
      </c>
      <c r="C34" s="300">
        <v>0</v>
      </c>
      <c r="D34" s="300">
        <v>540600000</v>
      </c>
      <c r="E34" s="302">
        <f>F34+G34+H34</f>
        <v>70487814.850000009</v>
      </c>
      <c r="F34" s="300">
        <v>15028507.199999999</v>
      </c>
      <c r="G34" s="300">
        <v>45928125.060000002</v>
      </c>
      <c r="H34" s="300">
        <v>9531182.5899999999</v>
      </c>
      <c r="I34" s="300">
        <v>104665210.34999999</v>
      </c>
      <c r="J34" s="300">
        <v>0</v>
      </c>
      <c r="K34" s="300">
        <v>24824325.68</v>
      </c>
      <c r="L34" s="302">
        <f>M34+N34+O34</f>
        <v>79840884.670000002</v>
      </c>
      <c r="M34" s="300">
        <v>26152108.129999999</v>
      </c>
      <c r="N34" s="300">
        <v>43841625.060000002</v>
      </c>
      <c r="O34" s="300">
        <v>9847151.4800000004</v>
      </c>
      <c r="P34" s="27">
        <f t="shared" si="2"/>
        <v>611.08781484999997</v>
      </c>
      <c r="Q34" s="27">
        <f t="shared" si="22"/>
        <v>540.6</v>
      </c>
      <c r="R34" s="27">
        <f t="shared" si="21"/>
        <v>70.487814850000007</v>
      </c>
      <c r="S34" s="27">
        <f t="shared" si="21"/>
        <v>15.0285072</v>
      </c>
      <c r="T34" s="27">
        <f t="shared" si="21"/>
        <v>45.928125059999999</v>
      </c>
      <c r="U34" s="27">
        <f t="shared" si="21"/>
        <v>9.5311825900000002</v>
      </c>
      <c r="V34" s="27">
        <f t="shared" si="21"/>
        <v>104.66521035</v>
      </c>
      <c r="W34" s="27">
        <f t="shared" si="4"/>
        <v>24.824325680000001</v>
      </c>
      <c r="X34" s="27">
        <f t="shared" si="4"/>
        <v>79.840884670000008</v>
      </c>
      <c r="Y34" s="27">
        <f t="shared" si="4"/>
        <v>26.152108129999998</v>
      </c>
      <c r="Z34" s="27">
        <f t="shared" si="4"/>
        <v>43.841625060000005</v>
      </c>
      <c r="AA34" s="27">
        <f t="shared" si="4"/>
        <v>9.8471514800000008</v>
      </c>
      <c r="AB34" s="27">
        <f t="shared" si="25"/>
        <v>17.127687348125495</v>
      </c>
      <c r="AC34" s="27">
        <f t="shared" si="26"/>
        <v>4.5919951313355529</v>
      </c>
      <c r="AD34" s="27">
        <f t="shared" si="30"/>
        <v>113.26905911312981</v>
      </c>
      <c r="AE34" s="27">
        <f t="shared" ref="AE34" si="33">Y34/S34%</f>
        <v>174.0166723279076</v>
      </c>
      <c r="AF34" s="27">
        <f t="shared" si="31"/>
        <v>95.457032053291499</v>
      </c>
      <c r="AG34" s="29">
        <f t="shared" si="32"/>
        <v>103.31510688224051</v>
      </c>
      <c r="AH34" s="26"/>
      <c r="AI34" s="6"/>
    </row>
    <row r="35" spans="1:36" ht="75" hidden="1" customHeight="1" x14ac:dyDescent="0.25">
      <c r="A35" s="36" t="s">
        <v>54</v>
      </c>
      <c r="B35" s="300"/>
      <c r="C35" s="300"/>
      <c r="D35" s="300"/>
      <c r="E35" s="302">
        <f>F35+G35+H35</f>
        <v>0</v>
      </c>
      <c r="F35" s="300"/>
      <c r="G35" s="300"/>
      <c r="H35" s="300"/>
      <c r="I35" s="300"/>
      <c r="J35" s="300"/>
      <c r="K35" s="300"/>
      <c r="L35" s="302">
        <f>M35+N35+O35</f>
        <v>0</v>
      </c>
      <c r="M35" s="300"/>
      <c r="N35" s="300"/>
      <c r="O35" s="300"/>
      <c r="P35" s="27">
        <f t="shared" si="2"/>
        <v>0</v>
      </c>
      <c r="Q35" s="27">
        <f t="shared" si="22"/>
        <v>0</v>
      </c>
      <c r="R35" s="27">
        <f t="shared" si="21"/>
        <v>0</v>
      </c>
      <c r="S35" s="27">
        <f t="shared" si="21"/>
        <v>0</v>
      </c>
      <c r="T35" s="27">
        <f t="shared" si="21"/>
        <v>0</v>
      </c>
      <c r="U35" s="27">
        <f t="shared" si="21"/>
        <v>0</v>
      </c>
      <c r="V35" s="27">
        <f t="shared" si="21"/>
        <v>0</v>
      </c>
      <c r="W35" s="27">
        <f t="shared" si="4"/>
        <v>0</v>
      </c>
      <c r="X35" s="27">
        <f t="shared" si="4"/>
        <v>0</v>
      </c>
      <c r="Y35" s="27">
        <f t="shared" si="4"/>
        <v>0</v>
      </c>
      <c r="Z35" s="27">
        <f t="shared" si="4"/>
        <v>0</v>
      </c>
      <c r="AA35" s="27">
        <f t="shared" si="4"/>
        <v>0</v>
      </c>
      <c r="AB35" s="27"/>
      <c r="AC35" s="27"/>
      <c r="AD35" s="27"/>
      <c r="AE35" s="27"/>
      <c r="AF35" s="27"/>
      <c r="AG35" s="29"/>
      <c r="AH35" s="61"/>
      <c r="AI35" s="6"/>
    </row>
    <row r="36" spans="1:36" ht="24" customHeight="1" x14ac:dyDescent="0.25">
      <c r="A36" s="36" t="s">
        <v>55</v>
      </c>
      <c r="B36" s="300">
        <v>13411472.32</v>
      </c>
      <c r="C36" s="300">
        <v>11006776.529999999</v>
      </c>
      <c r="D36" s="300">
        <v>0</v>
      </c>
      <c r="E36" s="302">
        <f>F36+G36+H36+H37</f>
        <v>9472755.5399999972</v>
      </c>
      <c r="F36" s="300">
        <v>6858148.0899999999</v>
      </c>
      <c r="G36" s="300">
        <v>17174890.859999999</v>
      </c>
      <c r="H36" s="300">
        <v>385209.9</v>
      </c>
      <c r="I36" s="300">
        <v>106614773.2</v>
      </c>
      <c r="J36" s="300">
        <v>97897464.730000004</v>
      </c>
      <c r="K36" s="300">
        <v>146158051.84</v>
      </c>
      <c r="L36" s="302">
        <f>M36+N36+O36+O37</f>
        <v>42718758.869999997</v>
      </c>
      <c r="M36" s="300">
        <v>20416929.59</v>
      </c>
      <c r="N36" s="300">
        <v>37550896.600000001</v>
      </c>
      <c r="O36" s="300">
        <v>386359.9</v>
      </c>
      <c r="P36" s="27">
        <f t="shared" si="2"/>
        <v>13.41147232</v>
      </c>
      <c r="Q36" s="27">
        <f t="shared" si="22"/>
        <v>0</v>
      </c>
      <c r="R36" s="27">
        <f t="shared" si="21"/>
        <v>9.4727555399999979</v>
      </c>
      <c r="S36" s="27">
        <f t="shared" si="21"/>
        <v>6.8581480900000003</v>
      </c>
      <c r="T36" s="27">
        <f t="shared" si="21"/>
        <v>17.174890859999998</v>
      </c>
      <c r="U36" s="27">
        <f t="shared" si="21"/>
        <v>0.38520990000000005</v>
      </c>
      <c r="V36" s="27">
        <f t="shared" si="21"/>
        <v>106.6147732</v>
      </c>
      <c r="W36" s="27">
        <f t="shared" si="4"/>
        <v>146.15805184000001</v>
      </c>
      <c r="X36" s="27">
        <f t="shared" si="4"/>
        <v>42.718758869999995</v>
      </c>
      <c r="Y36" s="27">
        <f t="shared" si="4"/>
        <v>20.416929589999999</v>
      </c>
      <c r="Z36" s="27">
        <f t="shared" si="4"/>
        <v>37.550896600000002</v>
      </c>
      <c r="AA36" s="27">
        <f t="shared" si="4"/>
        <v>0.38635990000000003</v>
      </c>
      <c r="AB36" s="43" t="s">
        <v>642</v>
      </c>
      <c r="AC36" s="43"/>
      <c r="AD36" s="43" t="s">
        <v>641</v>
      </c>
      <c r="AE36" s="43" t="s">
        <v>618</v>
      </c>
      <c r="AF36" s="43" t="s">
        <v>603</v>
      </c>
      <c r="AG36" s="29">
        <f t="shared" si="32"/>
        <v>100.29853853704175</v>
      </c>
      <c r="AH36" s="26"/>
      <c r="AI36" s="6"/>
    </row>
    <row r="37" spans="1:36" ht="26.4" x14ac:dyDescent="0.25">
      <c r="A37" s="36" t="s">
        <v>56</v>
      </c>
      <c r="B37" s="300">
        <v>-47075814.530000001</v>
      </c>
      <c r="C37" s="300">
        <v>-11006776.529999999</v>
      </c>
      <c r="D37" s="300">
        <v>-3005800</v>
      </c>
      <c r="E37" s="302">
        <f>F37+G37</f>
        <v>-40131297.75</v>
      </c>
      <c r="F37" s="300">
        <v>-10391609.82</v>
      </c>
      <c r="G37" s="300">
        <v>-29739687.93</v>
      </c>
      <c r="H37" s="300">
        <v>-14945493.310000001</v>
      </c>
      <c r="I37" s="300">
        <v>-1768093399.55</v>
      </c>
      <c r="J37" s="300">
        <v>-97897464.730000004</v>
      </c>
      <c r="K37" s="300">
        <v>-1768093399.55</v>
      </c>
      <c r="L37" s="302">
        <f>M37+N37</f>
        <v>-82262037.510000005</v>
      </c>
      <c r="M37" s="300">
        <v>-47853439.170000002</v>
      </c>
      <c r="N37" s="300">
        <v>-34408598.340000004</v>
      </c>
      <c r="O37" s="300">
        <v>-15635427.220000001</v>
      </c>
      <c r="P37" s="27">
        <f t="shared" si="2"/>
        <v>-47.075814530000002</v>
      </c>
      <c r="Q37" s="27">
        <f t="shared" si="22"/>
        <v>-3.0057999999999998</v>
      </c>
      <c r="R37" s="27">
        <f t="shared" si="21"/>
        <v>-40.131297750000002</v>
      </c>
      <c r="S37" s="27">
        <f t="shared" si="21"/>
        <v>-10.391609820000001</v>
      </c>
      <c r="T37" s="27">
        <f t="shared" si="21"/>
        <v>-29.739687929999999</v>
      </c>
      <c r="U37" s="27">
        <f t="shared" si="21"/>
        <v>-14.94549331</v>
      </c>
      <c r="V37" s="27">
        <f t="shared" si="21"/>
        <v>-1768.09339955</v>
      </c>
      <c r="W37" s="27">
        <f t="shared" si="4"/>
        <v>-1768.09339955</v>
      </c>
      <c r="X37" s="27">
        <f t="shared" si="4"/>
        <v>-82.262037509999999</v>
      </c>
      <c r="Y37" s="27">
        <f t="shared" si="4"/>
        <v>-47.853439170000001</v>
      </c>
      <c r="Z37" s="27">
        <f t="shared" si="4"/>
        <v>-34.408598340000005</v>
      </c>
      <c r="AA37" s="27">
        <f t="shared" si="4"/>
        <v>-15.63542722</v>
      </c>
      <c r="AB37" s="43" t="s">
        <v>643</v>
      </c>
      <c r="AC37" s="43" t="s">
        <v>644</v>
      </c>
      <c r="AD37" s="43" t="s">
        <v>604</v>
      </c>
      <c r="AE37" s="43" t="s">
        <v>645</v>
      </c>
      <c r="AF37" s="27">
        <f t="shared" si="31"/>
        <v>115.69925824705857</v>
      </c>
      <c r="AG37" s="29">
        <f t="shared" si="32"/>
        <v>104.61633413959223</v>
      </c>
      <c r="AH37" s="26"/>
      <c r="AI37" s="6"/>
    </row>
    <row r="38" spans="1:36" s="35" customFormat="1" x14ac:dyDescent="0.25">
      <c r="A38" s="94" t="s">
        <v>57</v>
      </c>
      <c r="B38" s="303">
        <f>B12+B13+B14+B15+B16+B17+B18+B19+B20+B21+B22+B23+B24+B25+B26+B28+B29</f>
        <v>106871033698.53999</v>
      </c>
      <c r="C38" s="303">
        <f t="shared" ref="C38:D38" si="34">C12+C13+C14+C15+C16+C17+C18+C19+C20+C21+C22+C23+C24+C25+C26+C29</f>
        <v>34825830201.07</v>
      </c>
      <c r="D38" s="303">
        <f t="shared" si="34"/>
        <v>91371968700</v>
      </c>
      <c r="E38" s="303">
        <f>E12+E13+E14+E15+E16+E17+E18+E19+E20+E21+E22+E23+E24+E25+E26+E28+E29</f>
        <v>47895219261.639999</v>
      </c>
      <c r="F38" s="303">
        <f t="shared" ref="F38:O38" si="35">F12+F13+F14+F15+F16+F17+F18+F19+F20+F21+F22+F23+F24+F25+F26+F28+F29</f>
        <v>26127707656.559998</v>
      </c>
      <c r="G38" s="303">
        <f t="shared" si="35"/>
        <v>20888785348.75</v>
      </c>
      <c r="H38" s="303">
        <f t="shared" si="35"/>
        <v>3308402194.3000002</v>
      </c>
      <c r="I38" s="303">
        <f t="shared" si="35"/>
        <v>113301392554.48999</v>
      </c>
      <c r="J38" s="303">
        <f t="shared" si="35"/>
        <v>36568025374.949997</v>
      </c>
      <c r="K38" s="303">
        <f t="shared" si="35"/>
        <v>98008809840.300018</v>
      </c>
      <c r="L38" s="303">
        <f t="shared" si="35"/>
        <v>49494080067.660004</v>
      </c>
      <c r="M38" s="303">
        <f t="shared" si="35"/>
        <v>28547116311.950005</v>
      </c>
      <c r="N38" s="303">
        <f t="shared" si="35"/>
        <v>20060276973</v>
      </c>
      <c r="O38" s="303">
        <f t="shared" si="35"/>
        <v>3253214804.1899996</v>
      </c>
      <c r="P38" s="62">
        <f t="shared" si="2"/>
        <v>106871.03369853999</v>
      </c>
      <c r="Q38" s="62">
        <f>D38/1000000</f>
        <v>91371.968699999998</v>
      </c>
      <c r="R38" s="62">
        <f t="shared" si="21"/>
        <v>47895.219261639999</v>
      </c>
      <c r="S38" s="62">
        <f t="shared" si="21"/>
        <v>26127.707656559996</v>
      </c>
      <c r="T38" s="62">
        <f t="shared" si="21"/>
        <v>20888.78534875</v>
      </c>
      <c r="U38" s="62">
        <f t="shared" si="21"/>
        <v>3308.4021943000002</v>
      </c>
      <c r="V38" s="62">
        <f t="shared" si="21"/>
        <v>113301.39255448998</v>
      </c>
      <c r="W38" s="62">
        <f>K38/1000000</f>
        <v>98008.809840300019</v>
      </c>
      <c r="X38" s="62">
        <f t="shared" si="4"/>
        <v>49494.080067660005</v>
      </c>
      <c r="Y38" s="62">
        <f t="shared" si="4"/>
        <v>28547.116311950005</v>
      </c>
      <c r="Z38" s="62">
        <f t="shared" si="4"/>
        <v>20060.276973</v>
      </c>
      <c r="AA38" s="62">
        <f t="shared" si="4"/>
        <v>3253.2148041899995</v>
      </c>
      <c r="AB38" s="62">
        <f t="shared" si="24"/>
        <v>106.01693333863378</v>
      </c>
      <c r="AC38" s="62">
        <f>W38/Q38%</f>
        <v>107.26354180032023</v>
      </c>
      <c r="AD38" s="62">
        <f t="shared" si="24"/>
        <v>103.33824717929741</v>
      </c>
      <c r="AE38" s="62">
        <f t="shared" si="24"/>
        <v>109.25993465325138</v>
      </c>
      <c r="AF38" s="62">
        <f t="shared" si="24"/>
        <v>96.033716839358604</v>
      </c>
      <c r="AG38" s="63">
        <f t="shared" si="24"/>
        <v>98.331902021916122</v>
      </c>
      <c r="AH38" s="64"/>
      <c r="AI38" s="6"/>
      <c r="AJ38" s="3"/>
    </row>
    <row r="39" spans="1:36" s="35" customFormat="1" x14ac:dyDescent="0.25">
      <c r="A39" s="94" t="s">
        <v>58</v>
      </c>
      <c r="B39" s="304">
        <f>+B12+B13+B14+B15+B16+B17+B18+B19</f>
        <v>66892291834.790001</v>
      </c>
      <c r="C39" s="304">
        <f t="shared" ref="C39:AA39" si="36">+C12+C13+C14+C15+C16+C17+C18+C19</f>
        <v>0</v>
      </c>
      <c r="D39" s="304">
        <f t="shared" si="36"/>
        <v>53991159200</v>
      </c>
      <c r="E39" s="304">
        <f t="shared" si="36"/>
        <v>12901132634.789999</v>
      </c>
      <c r="F39" s="304">
        <f t="shared" si="36"/>
        <v>9486088836.4500008</v>
      </c>
      <c r="G39" s="304">
        <f t="shared" si="36"/>
        <v>2593104343.9700003</v>
      </c>
      <c r="H39" s="304">
        <f t="shared" si="36"/>
        <v>821939454.37</v>
      </c>
      <c r="I39" s="304">
        <f t="shared" si="36"/>
        <v>66957896881.57</v>
      </c>
      <c r="J39" s="304">
        <f t="shared" si="36"/>
        <v>0</v>
      </c>
      <c r="K39" s="304">
        <f t="shared" si="36"/>
        <v>53785968398.640007</v>
      </c>
      <c r="L39" s="304">
        <f t="shared" si="36"/>
        <v>13171928482.93</v>
      </c>
      <c r="M39" s="304">
        <f t="shared" si="36"/>
        <v>9756688826.3600006</v>
      </c>
      <c r="N39" s="304">
        <f t="shared" si="36"/>
        <v>2594526089.5799999</v>
      </c>
      <c r="O39" s="304">
        <f t="shared" si="36"/>
        <v>820713566.98999989</v>
      </c>
      <c r="P39" s="244">
        <f t="shared" si="36"/>
        <v>66892.291834789998</v>
      </c>
      <c r="Q39" s="244">
        <f t="shared" si="36"/>
        <v>53991.159199999995</v>
      </c>
      <c r="R39" s="244">
        <f t="shared" si="36"/>
        <v>12901.132634789999</v>
      </c>
      <c r="S39" s="244">
        <f t="shared" si="36"/>
        <v>9486.0888364500024</v>
      </c>
      <c r="T39" s="244">
        <f t="shared" si="36"/>
        <v>2593.1043439699997</v>
      </c>
      <c r="U39" s="244">
        <f t="shared" si="36"/>
        <v>821.93945437000002</v>
      </c>
      <c r="V39" s="244">
        <f t="shared" si="36"/>
        <v>66957.896881569992</v>
      </c>
      <c r="W39" s="244">
        <f t="shared" si="36"/>
        <v>53785.968398639998</v>
      </c>
      <c r="X39" s="244">
        <f t="shared" si="36"/>
        <v>13171.928482930001</v>
      </c>
      <c r="Y39" s="244">
        <f t="shared" si="36"/>
        <v>9756.6888263599994</v>
      </c>
      <c r="Z39" s="244">
        <f t="shared" si="36"/>
        <v>2594.5260895800002</v>
      </c>
      <c r="AA39" s="244">
        <f t="shared" si="36"/>
        <v>820.71356699</v>
      </c>
      <c r="AB39" s="62">
        <f t="shared" ref="AB39:AG40" si="37">V39/P39%</f>
        <v>100.09807564516106</v>
      </c>
      <c r="AC39" s="62">
        <f t="shared" si="37"/>
        <v>99.619954814083712</v>
      </c>
      <c r="AD39" s="62">
        <f t="shared" si="37"/>
        <v>102.09900832590277</v>
      </c>
      <c r="AE39" s="62">
        <f t="shared" si="37"/>
        <v>102.85259809996955</v>
      </c>
      <c r="AF39" s="62">
        <f t="shared" si="37"/>
        <v>100.05482793676647</v>
      </c>
      <c r="AG39" s="63">
        <f t="shared" si="37"/>
        <v>99.850854296690301</v>
      </c>
      <c r="AH39" s="64"/>
      <c r="AI39" s="6"/>
      <c r="AJ39" s="3"/>
    </row>
    <row r="40" spans="1:36" s="35" customFormat="1" ht="13.8" thickBot="1" x14ac:dyDescent="0.3">
      <c r="A40" s="109" t="s">
        <v>59</v>
      </c>
      <c r="B40" s="305">
        <f>+B20+B21+B22+B23+B24+B25+B26+B28</f>
        <v>3386823321.6600003</v>
      </c>
      <c r="C40" s="305">
        <f t="shared" ref="C40:AA40" si="38">+C20+C21+C22+C23+C24+C25+C26+C28</f>
        <v>711608.75</v>
      </c>
      <c r="D40" s="305">
        <f t="shared" si="38"/>
        <v>1509882900</v>
      </c>
      <c r="E40" s="305">
        <f t="shared" si="38"/>
        <v>1877652030.4100001</v>
      </c>
      <c r="F40" s="305">
        <f t="shared" si="38"/>
        <v>1283190606.7200003</v>
      </c>
      <c r="G40" s="305">
        <f t="shared" si="38"/>
        <v>351351795.30999994</v>
      </c>
      <c r="H40" s="305">
        <f t="shared" si="38"/>
        <v>243109628.38</v>
      </c>
      <c r="I40" s="305">
        <f t="shared" si="38"/>
        <v>3895542800.5900002</v>
      </c>
      <c r="J40" s="305">
        <f t="shared" si="38"/>
        <v>711608.75</v>
      </c>
      <c r="K40" s="305">
        <f t="shared" si="38"/>
        <v>1816393331.3600001</v>
      </c>
      <c r="L40" s="305">
        <f t="shared" si="38"/>
        <v>2079861077.9799998</v>
      </c>
      <c r="M40" s="305">
        <f t="shared" si="38"/>
        <v>1451344945.53</v>
      </c>
      <c r="N40" s="305">
        <f t="shared" si="38"/>
        <v>378943989.89000005</v>
      </c>
      <c r="O40" s="305">
        <f t="shared" si="38"/>
        <v>249572142.56000003</v>
      </c>
      <c r="P40" s="245">
        <f t="shared" si="38"/>
        <v>3386.8233216600006</v>
      </c>
      <c r="Q40" s="245">
        <f t="shared" si="38"/>
        <v>1509.8829000000001</v>
      </c>
      <c r="R40" s="245">
        <f t="shared" si="38"/>
        <v>1877.65203041</v>
      </c>
      <c r="S40" s="245">
        <f t="shared" si="38"/>
        <v>1283.19060672</v>
      </c>
      <c r="T40" s="245">
        <f t="shared" si="38"/>
        <v>351.35179531</v>
      </c>
      <c r="U40" s="245">
        <f t="shared" si="38"/>
        <v>243.10962838000003</v>
      </c>
      <c r="V40" s="245">
        <f t="shared" si="38"/>
        <v>3895.5428005900003</v>
      </c>
      <c r="W40" s="245">
        <f t="shared" si="38"/>
        <v>1816.39333136</v>
      </c>
      <c r="X40" s="245">
        <f t="shared" si="38"/>
        <v>2079.8610779799997</v>
      </c>
      <c r="Y40" s="245">
        <f t="shared" si="38"/>
        <v>1451.3449455299999</v>
      </c>
      <c r="Z40" s="245">
        <f t="shared" si="38"/>
        <v>378.94398988999995</v>
      </c>
      <c r="AA40" s="245">
        <f t="shared" si="38"/>
        <v>249.57214256</v>
      </c>
      <c r="AB40" s="111">
        <f t="shared" si="37"/>
        <v>115.02054966010624</v>
      </c>
      <c r="AC40" s="111">
        <f>W40/Q40%</f>
        <v>120.30027834343974</v>
      </c>
      <c r="AD40" s="111">
        <f t="shared" si="37"/>
        <v>110.76925033473033</v>
      </c>
      <c r="AE40" s="111">
        <f t="shared" si="37"/>
        <v>113.10439290385892</v>
      </c>
      <c r="AF40" s="111">
        <f t="shared" si="37"/>
        <v>107.85315314972425</v>
      </c>
      <c r="AG40" s="193">
        <f t="shared" si="37"/>
        <v>102.65827158844507</v>
      </c>
      <c r="AH40" s="64"/>
      <c r="AI40" s="6"/>
      <c r="AJ40" s="3"/>
    </row>
    <row r="41" spans="1:36" s="58" customFormat="1" ht="13.8" hidden="1" thickTop="1" x14ac:dyDescent="0.25">
      <c r="A41" s="66" t="s">
        <v>60</v>
      </c>
      <c r="B41" s="67">
        <f>B38-B10</f>
        <v>0</v>
      </c>
      <c r="C41" s="67">
        <f t="shared" ref="C41:O41" si="39">C38-C10</f>
        <v>0</v>
      </c>
      <c r="D41" s="67">
        <f t="shared" si="39"/>
        <v>0</v>
      </c>
      <c r="E41" s="67">
        <f>E38-E10</f>
        <v>0</v>
      </c>
      <c r="F41" s="67">
        <f t="shared" si="39"/>
        <v>0</v>
      </c>
      <c r="G41" s="67">
        <f t="shared" si="39"/>
        <v>0</v>
      </c>
      <c r="H41" s="67">
        <f t="shared" si="39"/>
        <v>0</v>
      </c>
      <c r="I41" s="67">
        <f t="shared" si="39"/>
        <v>0</v>
      </c>
      <c r="J41" s="67">
        <f t="shared" si="39"/>
        <v>0</v>
      </c>
      <c r="K41" s="67">
        <f t="shared" si="39"/>
        <v>0</v>
      </c>
      <c r="L41" s="67">
        <f>L38-L10</f>
        <v>0</v>
      </c>
      <c r="M41" s="67">
        <f t="shared" si="39"/>
        <v>0</v>
      </c>
      <c r="N41" s="67">
        <f t="shared" si="39"/>
        <v>0</v>
      </c>
      <c r="O41" s="67">
        <f t="shared" si="39"/>
        <v>0</v>
      </c>
      <c r="P41" s="192">
        <f t="shared" si="2"/>
        <v>0</v>
      </c>
      <c r="Q41" s="68"/>
      <c r="R41" s="68"/>
      <c r="S41" s="68"/>
      <c r="T41" s="68"/>
      <c r="U41" s="68"/>
      <c r="V41" s="68"/>
      <c r="W41" s="68"/>
      <c r="X41" s="68"/>
      <c r="Y41" s="68"/>
      <c r="Z41" s="68"/>
      <c r="AA41" s="68"/>
      <c r="AB41" s="68"/>
      <c r="AC41" s="68"/>
      <c r="AD41" s="68"/>
      <c r="AE41" s="68"/>
      <c r="AF41" s="68"/>
      <c r="AG41" s="69"/>
      <c r="AH41" s="70"/>
    </row>
    <row r="42" spans="1:36" s="58" customFormat="1" hidden="1" x14ac:dyDescent="0.25">
      <c r="A42" s="71" t="s">
        <v>61</v>
      </c>
      <c r="B42" s="72">
        <f>B31+B32+B33+B34+B35+B36+B37</f>
        <v>36591918542.089996</v>
      </c>
      <c r="C42" s="72">
        <f t="shared" ref="C42:AA42" si="40">C31+C32+C33+C34+C35+C36+C37</f>
        <v>34825118592.32</v>
      </c>
      <c r="D42" s="72">
        <f t="shared" si="40"/>
        <v>35870926600</v>
      </c>
      <c r="E42" s="72">
        <f>E31+E32+E33+E34+E35+E36+E37</f>
        <v>33116434596.440002</v>
      </c>
      <c r="F42" s="72">
        <f t="shared" si="40"/>
        <v>15358428213.390001</v>
      </c>
      <c r="G42" s="72">
        <f t="shared" si="40"/>
        <v>17944329209.470001</v>
      </c>
      <c r="H42" s="72">
        <f t="shared" si="40"/>
        <v>2243353111.5500002</v>
      </c>
      <c r="I42" s="72">
        <f t="shared" si="40"/>
        <v>42447952872.329994</v>
      </c>
      <c r="J42" s="72">
        <f t="shared" si="40"/>
        <v>36567313766.199997</v>
      </c>
      <c r="K42" s="72">
        <f t="shared" si="40"/>
        <v>42406448110.299995</v>
      </c>
      <c r="L42" s="72">
        <f t="shared" si="40"/>
        <v>34242290506.75</v>
      </c>
      <c r="M42" s="72">
        <f t="shared" si="40"/>
        <v>17339082540.060001</v>
      </c>
      <c r="N42" s="72">
        <f t="shared" si="40"/>
        <v>17086806893.529999</v>
      </c>
      <c r="O42" s="72">
        <f t="shared" si="40"/>
        <v>2182929094.6400003</v>
      </c>
      <c r="P42" s="154">
        <f t="shared" si="2"/>
        <v>36591.918542089996</v>
      </c>
      <c r="Q42" s="72">
        <f t="shared" si="40"/>
        <v>35870.926599999999</v>
      </c>
      <c r="R42" s="72">
        <f t="shared" si="40"/>
        <v>33116.434596440005</v>
      </c>
      <c r="S42" s="72">
        <f t="shared" si="40"/>
        <v>15358.42821339</v>
      </c>
      <c r="T42" s="72">
        <f t="shared" si="40"/>
        <v>17944.329209469997</v>
      </c>
      <c r="U42" s="72">
        <f t="shared" si="40"/>
        <v>2243.3531115499995</v>
      </c>
      <c r="V42" s="72">
        <f t="shared" si="40"/>
        <v>42447.952872330003</v>
      </c>
      <c r="W42" s="72">
        <f t="shared" si="40"/>
        <v>42406.448110299993</v>
      </c>
      <c r="X42" s="72">
        <f t="shared" si="40"/>
        <v>34242.290506749996</v>
      </c>
      <c r="Y42" s="72">
        <f t="shared" si="40"/>
        <v>17339.082540060001</v>
      </c>
      <c r="Z42" s="72">
        <f t="shared" si="40"/>
        <v>17086.806893529996</v>
      </c>
      <c r="AA42" s="72">
        <f t="shared" si="40"/>
        <v>2182.9290946399997</v>
      </c>
      <c r="AB42" s="73"/>
      <c r="AC42" s="73"/>
      <c r="AD42" s="73"/>
      <c r="AE42" s="73"/>
      <c r="AF42" s="73"/>
      <c r="AG42" s="73"/>
      <c r="AH42" s="70"/>
    </row>
    <row r="43" spans="1:36" s="58" customFormat="1" hidden="1" x14ac:dyDescent="0.25">
      <c r="A43" s="74" t="s">
        <v>540</v>
      </c>
      <c r="B43" s="75">
        <f>B42-B29</f>
        <v>0</v>
      </c>
      <c r="C43" s="75">
        <f t="shared" ref="C43:AA43" si="41">C42-C29</f>
        <v>0</v>
      </c>
      <c r="D43" s="75">
        <f t="shared" si="41"/>
        <v>0</v>
      </c>
      <c r="E43" s="75">
        <f>E42-E29</f>
        <v>0</v>
      </c>
      <c r="F43" s="75">
        <f t="shared" si="41"/>
        <v>0</v>
      </c>
      <c r="G43" s="75">
        <f t="shared" si="41"/>
        <v>0</v>
      </c>
      <c r="H43" s="75">
        <f t="shared" si="41"/>
        <v>0</v>
      </c>
      <c r="I43" s="75">
        <f t="shared" si="41"/>
        <v>0</v>
      </c>
      <c r="J43" s="75">
        <f t="shared" si="41"/>
        <v>0</v>
      </c>
      <c r="K43" s="75">
        <f t="shared" si="41"/>
        <v>0</v>
      </c>
      <c r="L43" s="75">
        <f t="shared" si="41"/>
        <v>0</v>
      </c>
      <c r="M43" s="75">
        <f t="shared" si="41"/>
        <v>0</v>
      </c>
      <c r="N43" s="75">
        <f t="shared" si="41"/>
        <v>0</v>
      </c>
      <c r="O43" s="75">
        <f t="shared" si="41"/>
        <v>0</v>
      </c>
      <c r="P43" s="102">
        <f t="shared" si="2"/>
        <v>0</v>
      </c>
      <c r="Q43" s="76">
        <f t="shared" si="41"/>
        <v>0</v>
      </c>
      <c r="R43" s="76">
        <f t="shared" si="41"/>
        <v>0</v>
      </c>
      <c r="S43" s="76">
        <f t="shared" si="41"/>
        <v>0</v>
      </c>
      <c r="T43" s="76">
        <f t="shared" si="41"/>
        <v>0</v>
      </c>
      <c r="U43" s="76">
        <f t="shared" si="41"/>
        <v>0</v>
      </c>
      <c r="V43" s="76">
        <f t="shared" si="41"/>
        <v>0</v>
      </c>
      <c r="W43" s="76">
        <f t="shared" si="41"/>
        <v>0</v>
      </c>
      <c r="X43" s="76">
        <f t="shared" si="41"/>
        <v>0</v>
      </c>
      <c r="Y43" s="76">
        <f t="shared" si="41"/>
        <v>0</v>
      </c>
      <c r="Z43" s="76">
        <f t="shared" si="41"/>
        <v>0</v>
      </c>
      <c r="AA43" s="76">
        <f t="shared" si="41"/>
        <v>0</v>
      </c>
      <c r="AB43" s="70"/>
      <c r="AC43" s="70"/>
      <c r="AD43" s="70"/>
      <c r="AE43" s="70"/>
      <c r="AF43" s="70"/>
      <c r="AG43" s="70"/>
      <c r="AH43" s="70"/>
    </row>
    <row r="44" spans="1:36" s="58" customFormat="1" hidden="1" x14ac:dyDescent="0.25">
      <c r="A44" s="74"/>
      <c r="B44" s="75"/>
      <c r="C44" s="75"/>
      <c r="D44" s="75"/>
      <c r="E44" s="75"/>
      <c r="F44" s="75"/>
      <c r="G44" s="75"/>
      <c r="H44" s="75"/>
      <c r="I44" s="75"/>
      <c r="J44" s="75"/>
      <c r="K44" s="75"/>
      <c r="L44" s="75"/>
      <c r="M44" s="75"/>
      <c r="N44" s="75"/>
      <c r="O44" s="75"/>
      <c r="P44" s="102"/>
      <c r="Q44" s="76"/>
      <c r="R44" s="76"/>
      <c r="S44" s="76"/>
      <c r="T44" s="76"/>
      <c r="U44" s="76"/>
      <c r="V44" s="76"/>
      <c r="W44" s="76"/>
      <c r="X44" s="76"/>
      <c r="Y44" s="76"/>
      <c r="Z44" s="76"/>
      <c r="AA44" s="76"/>
      <c r="AB44" s="70"/>
      <c r="AC44" s="70"/>
      <c r="AD44" s="70"/>
      <c r="AE44" s="70"/>
      <c r="AF44" s="70"/>
      <c r="AG44" s="70"/>
      <c r="AH44" s="70"/>
    </row>
    <row r="45" spans="1:36" s="58" customFormat="1" ht="26.4" hidden="1" x14ac:dyDescent="0.25">
      <c r="A45" s="74"/>
      <c r="B45" s="70"/>
      <c r="C45" s="70" t="s">
        <v>542</v>
      </c>
      <c r="D45" s="75">
        <v>99785593691.429993</v>
      </c>
      <c r="E45" s="75"/>
      <c r="F45" s="70"/>
      <c r="G45" s="70"/>
      <c r="H45" s="70"/>
      <c r="I45" s="70"/>
      <c r="J45" s="70"/>
      <c r="K45" s="70"/>
      <c r="L45" s="75"/>
      <c r="M45" s="75"/>
      <c r="N45" s="75"/>
      <c r="O45" s="75"/>
      <c r="P45" s="102"/>
      <c r="Q45" s="70"/>
      <c r="R45" s="70"/>
      <c r="S45" s="70"/>
      <c r="T45" s="70"/>
      <c r="U45" s="70"/>
      <c r="V45" s="70"/>
      <c r="W45" s="70"/>
      <c r="X45" s="70"/>
      <c r="Y45" s="70"/>
      <c r="Z45" s="70"/>
      <c r="AA45" s="70"/>
      <c r="AB45" s="70"/>
      <c r="AC45" s="70"/>
      <c r="AD45" s="70"/>
      <c r="AE45" s="70"/>
      <c r="AF45" s="70"/>
      <c r="AG45" s="70"/>
      <c r="AH45" s="70"/>
    </row>
    <row r="46" spans="1:36" s="58" customFormat="1" hidden="1" x14ac:dyDescent="0.25">
      <c r="A46" s="74"/>
      <c r="B46" s="70"/>
      <c r="C46" s="70" t="s">
        <v>529</v>
      </c>
      <c r="D46" s="75">
        <f>D45-D38</f>
        <v>8413624991.4299927</v>
      </c>
      <c r="E46" s="75"/>
      <c r="F46" s="70"/>
      <c r="G46" s="70"/>
      <c r="H46" s="70"/>
      <c r="I46" s="70"/>
      <c r="J46" s="70"/>
      <c r="K46" s="70"/>
      <c r="L46" s="75"/>
      <c r="M46" s="75"/>
      <c r="N46" s="75"/>
      <c r="O46" s="75"/>
      <c r="P46" s="102"/>
      <c r="Q46" s="70"/>
      <c r="R46" s="70"/>
      <c r="S46" s="70"/>
      <c r="T46" s="70"/>
      <c r="U46" s="70"/>
      <c r="V46" s="70"/>
      <c r="W46" s="70"/>
      <c r="X46" s="70"/>
      <c r="Y46" s="70"/>
      <c r="Z46" s="70"/>
      <c r="AA46" s="70"/>
      <c r="AB46" s="70"/>
      <c r="AC46" s="70"/>
      <c r="AD46" s="70"/>
      <c r="AE46" s="70"/>
      <c r="AF46" s="70"/>
      <c r="AG46" s="70"/>
      <c r="AH46" s="70"/>
    </row>
    <row r="47" spans="1:36" s="58" customFormat="1" hidden="1" x14ac:dyDescent="0.25">
      <c r="A47" s="74"/>
      <c r="B47" s="70"/>
      <c r="C47" s="70"/>
      <c r="D47" s="75">
        <f>D46+D145</f>
        <v>16875482015.860001</v>
      </c>
      <c r="E47" s="75"/>
      <c r="F47" s="70"/>
      <c r="G47" s="70"/>
      <c r="H47" s="70"/>
      <c r="I47" s="70"/>
      <c r="J47" s="70"/>
      <c r="K47" s="70"/>
      <c r="L47" s="75"/>
      <c r="M47" s="75"/>
      <c r="N47" s="75"/>
      <c r="O47" s="75"/>
      <c r="P47" s="102"/>
      <c r="Q47" s="70"/>
      <c r="R47" s="70"/>
      <c r="S47" s="70"/>
      <c r="T47" s="70"/>
      <c r="U47" s="70"/>
      <c r="V47" s="70"/>
      <c r="W47" s="70"/>
      <c r="X47" s="70"/>
      <c r="Y47" s="70"/>
      <c r="Z47" s="70"/>
      <c r="AA47" s="70"/>
      <c r="AB47" s="70"/>
      <c r="AC47" s="70"/>
      <c r="AD47" s="70"/>
      <c r="AE47" s="70"/>
      <c r="AF47" s="70"/>
      <c r="AG47" s="70"/>
      <c r="AH47" s="70"/>
    </row>
    <row r="48" spans="1:36" s="58" customFormat="1" ht="40.200000000000003" hidden="1" thickBot="1" x14ac:dyDescent="0.3">
      <c r="A48" s="74" t="s">
        <v>63</v>
      </c>
      <c r="B48" s="70"/>
      <c r="C48" s="70"/>
      <c r="D48" s="70"/>
      <c r="E48" s="77">
        <f>G141-H31</f>
        <v>749095.59999990463</v>
      </c>
      <c r="F48" s="70"/>
      <c r="G48" s="70"/>
      <c r="H48" s="70"/>
      <c r="I48" s="70"/>
      <c r="J48" s="70"/>
      <c r="K48" s="70"/>
      <c r="L48" s="77">
        <f>N141-O31</f>
        <v>0</v>
      </c>
      <c r="M48" s="70"/>
      <c r="N48" s="70"/>
      <c r="O48" s="70"/>
      <c r="P48" s="155"/>
      <c r="Q48" s="70"/>
      <c r="R48" s="466">
        <f>T141-U31</f>
        <v>0.74909560000014608</v>
      </c>
      <c r="S48" s="78"/>
      <c r="T48" s="78"/>
      <c r="U48" s="78"/>
      <c r="V48" s="78"/>
      <c r="W48" s="78"/>
      <c r="X48" s="466">
        <f>Z141-AA31</f>
        <v>0</v>
      </c>
      <c r="Y48" s="70"/>
      <c r="Z48" s="70"/>
      <c r="AA48" s="70"/>
      <c r="AB48" s="70"/>
      <c r="AC48" s="70"/>
      <c r="AD48" s="70"/>
      <c r="AE48" s="70"/>
      <c r="AF48" s="70"/>
      <c r="AG48" s="70"/>
      <c r="AH48" s="70"/>
    </row>
    <row r="49" spans="1:34" ht="13.5" customHeight="1" thickTop="1" x14ac:dyDescent="0.25">
      <c r="A49" s="977" t="s">
        <v>1</v>
      </c>
      <c r="B49" s="993" t="s">
        <v>557</v>
      </c>
      <c r="C49" s="993"/>
      <c r="D49" s="993"/>
      <c r="E49" s="993"/>
      <c r="F49" s="993"/>
      <c r="G49" s="993"/>
      <c r="H49" s="993"/>
      <c r="I49" s="993" t="s">
        <v>620</v>
      </c>
      <c r="J49" s="993"/>
      <c r="K49" s="993"/>
      <c r="L49" s="993"/>
      <c r="M49" s="993"/>
      <c r="N49" s="993"/>
      <c r="O49" s="993"/>
      <c r="P49" s="979" t="s">
        <v>558</v>
      </c>
      <c r="Q49" s="979"/>
      <c r="R49" s="979"/>
      <c r="S49" s="979"/>
      <c r="T49" s="979"/>
      <c r="U49" s="979"/>
      <c r="V49" s="979" t="s">
        <v>621</v>
      </c>
      <c r="W49" s="979"/>
      <c r="X49" s="979"/>
      <c r="Y49" s="979"/>
      <c r="Z49" s="979"/>
      <c r="AA49" s="979"/>
      <c r="AB49" s="979" t="s">
        <v>2</v>
      </c>
      <c r="AC49" s="979"/>
      <c r="AD49" s="979"/>
      <c r="AE49" s="979"/>
      <c r="AF49" s="979"/>
      <c r="AG49" s="980"/>
      <c r="AH49" s="9"/>
    </row>
    <row r="50" spans="1:34" x14ac:dyDescent="0.25">
      <c r="A50" s="978"/>
      <c r="B50" s="991" t="s">
        <v>3</v>
      </c>
      <c r="C50" s="991" t="s">
        <v>4</v>
      </c>
      <c r="D50" s="991"/>
      <c r="E50" s="991"/>
      <c r="F50" s="991"/>
      <c r="G50" s="991"/>
      <c r="H50" s="991"/>
      <c r="I50" s="991" t="s">
        <v>3</v>
      </c>
      <c r="J50" s="334"/>
      <c r="K50" s="991" t="s">
        <v>4</v>
      </c>
      <c r="L50" s="991"/>
      <c r="M50" s="991"/>
      <c r="N50" s="991"/>
      <c r="O50" s="991"/>
      <c r="P50" s="973" t="s">
        <v>3</v>
      </c>
      <c r="Q50" s="972" t="s">
        <v>5</v>
      </c>
      <c r="R50" s="972"/>
      <c r="S50" s="972"/>
      <c r="T50" s="972"/>
      <c r="U50" s="972"/>
      <c r="V50" s="973" t="s">
        <v>3</v>
      </c>
      <c r="W50" s="972" t="s">
        <v>5</v>
      </c>
      <c r="X50" s="972"/>
      <c r="Y50" s="972"/>
      <c r="Z50" s="972"/>
      <c r="AA50" s="972"/>
      <c r="AB50" s="973" t="s">
        <v>3</v>
      </c>
      <c r="AC50" s="972" t="s">
        <v>5</v>
      </c>
      <c r="AD50" s="972"/>
      <c r="AE50" s="972"/>
      <c r="AF50" s="972"/>
      <c r="AG50" s="974"/>
      <c r="AH50" s="9"/>
    </row>
    <row r="51" spans="1:34" x14ac:dyDescent="0.25">
      <c r="A51" s="978"/>
      <c r="B51" s="991"/>
      <c r="C51" s="990" t="s">
        <v>6</v>
      </c>
      <c r="D51" s="991" t="s">
        <v>7</v>
      </c>
      <c r="E51" s="991" t="s">
        <v>8</v>
      </c>
      <c r="F51" s="992" t="s">
        <v>9</v>
      </c>
      <c r="G51" s="992"/>
      <c r="H51" s="992"/>
      <c r="I51" s="991"/>
      <c r="J51" s="990" t="s">
        <v>6</v>
      </c>
      <c r="K51" s="991" t="s">
        <v>7</v>
      </c>
      <c r="L51" s="991" t="s">
        <v>8</v>
      </c>
      <c r="M51" s="992" t="s">
        <v>9</v>
      </c>
      <c r="N51" s="992"/>
      <c r="O51" s="992"/>
      <c r="P51" s="973"/>
      <c r="Q51" s="973" t="s">
        <v>7</v>
      </c>
      <c r="R51" s="973" t="s">
        <v>8</v>
      </c>
      <c r="S51" s="976" t="s">
        <v>9</v>
      </c>
      <c r="T51" s="976"/>
      <c r="U51" s="976"/>
      <c r="V51" s="973"/>
      <c r="W51" s="973" t="s">
        <v>7</v>
      </c>
      <c r="X51" s="973" t="s">
        <v>8</v>
      </c>
      <c r="Y51" s="976" t="s">
        <v>9</v>
      </c>
      <c r="Z51" s="976"/>
      <c r="AA51" s="976"/>
      <c r="AB51" s="973"/>
      <c r="AC51" s="975" t="s">
        <v>7</v>
      </c>
      <c r="AD51" s="975" t="s">
        <v>8</v>
      </c>
      <c r="AE51" s="981" t="s">
        <v>9</v>
      </c>
      <c r="AF51" s="981"/>
      <c r="AG51" s="982"/>
      <c r="AH51" s="10"/>
    </row>
    <row r="52" spans="1:34" ht="57.75" customHeight="1" x14ac:dyDescent="0.25">
      <c r="A52" s="978"/>
      <c r="B52" s="991"/>
      <c r="C52" s="990"/>
      <c r="D52" s="991"/>
      <c r="E52" s="991"/>
      <c r="F52" s="334" t="s">
        <v>10</v>
      </c>
      <c r="G52" s="334" t="s">
        <v>11</v>
      </c>
      <c r="H52" s="334" t="s">
        <v>12</v>
      </c>
      <c r="I52" s="991"/>
      <c r="J52" s="990"/>
      <c r="K52" s="991"/>
      <c r="L52" s="991"/>
      <c r="M52" s="334" t="s">
        <v>10</v>
      </c>
      <c r="N52" s="334" t="s">
        <v>11</v>
      </c>
      <c r="O52" s="334" t="s">
        <v>12</v>
      </c>
      <c r="P52" s="973"/>
      <c r="Q52" s="973"/>
      <c r="R52" s="973"/>
      <c r="S52" s="330" t="s">
        <v>10</v>
      </c>
      <c r="T52" s="330" t="s">
        <v>11</v>
      </c>
      <c r="U52" s="330" t="s">
        <v>12</v>
      </c>
      <c r="V52" s="973"/>
      <c r="W52" s="973"/>
      <c r="X52" s="973"/>
      <c r="Y52" s="330" t="s">
        <v>10</v>
      </c>
      <c r="Z52" s="330" t="s">
        <v>11</v>
      </c>
      <c r="AA52" s="330" t="s">
        <v>12</v>
      </c>
      <c r="AB52" s="973"/>
      <c r="AC52" s="975"/>
      <c r="AD52" s="975"/>
      <c r="AE52" s="11" t="s">
        <v>10</v>
      </c>
      <c r="AF52" s="11" t="s">
        <v>11</v>
      </c>
      <c r="AG52" s="12" t="s">
        <v>64</v>
      </c>
      <c r="AH52" s="13"/>
    </row>
    <row r="53" spans="1:34" x14ac:dyDescent="0.25">
      <c r="A53" s="14" t="s">
        <v>14</v>
      </c>
      <c r="B53" s="306"/>
      <c r="C53" s="306"/>
      <c r="D53" s="306"/>
      <c r="E53" s="306"/>
      <c r="F53" s="306"/>
      <c r="G53" s="306"/>
      <c r="H53" s="306"/>
      <c r="I53" s="306"/>
      <c r="J53" s="306"/>
      <c r="K53" s="306"/>
      <c r="L53" s="306"/>
      <c r="M53" s="306"/>
      <c r="N53" s="306"/>
      <c r="O53" s="306"/>
      <c r="P53" s="15" t="s">
        <v>15</v>
      </c>
      <c r="Q53" s="15" t="s">
        <v>16</v>
      </c>
      <c r="R53" s="15" t="s">
        <v>17</v>
      </c>
      <c r="S53" s="17">
        <v>4</v>
      </c>
      <c r="T53" s="17">
        <v>5</v>
      </c>
      <c r="U53" s="17">
        <v>6</v>
      </c>
      <c r="V53" s="15" t="s">
        <v>18</v>
      </c>
      <c r="W53" s="15" t="s">
        <v>19</v>
      </c>
      <c r="X53" s="15" t="s">
        <v>20</v>
      </c>
      <c r="Y53" s="17">
        <v>10</v>
      </c>
      <c r="Z53" s="17">
        <v>11</v>
      </c>
      <c r="AA53" s="17">
        <v>12</v>
      </c>
      <c r="AB53" s="15" t="s">
        <v>21</v>
      </c>
      <c r="AC53" s="15" t="s">
        <v>22</v>
      </c>
      <c r="AD53" s="15" t="s">
        <v>23</v>
      </c>
      <c r="AE53" s="17" t="s">
        <v>24</v>
      </c>
      <c r="AF53" s="17" t="s">
        <v>25</v>
      </c>
      <c r="AG53" s="18" t="s">
        <v>26</v>
      </c>
      <c r="AH53" s="19"/>
    </row>
    <row r="54" spans="1:34" x14ac:dyDescent="0.25">
      <c r="A54" s="257" t="s">
        <v>65</v>
      </c>
      <c r="B54" s="21"/>
      <c r="C54" s="21"/>
      <c r="D54" s="21"/>
      <c r="E54" s="21"/>
      <c r="F54" s="21"/>
      <c r="G54" s="21"/>
      <c r="H54" s="21"/>
      <c r="I54" s="21"/>
      <c r="J54" s="21"/>
      <c r="K54" s="21"/>
      <c r="L54" s="258"/>
      <c r="M54" s="21"/>
      <c r="N54" s="21"/>
      <c r="O54" s="21"/>
      <c r="P54" s="259"/>
      <c r="Q54" s="259"/>
      <c r="R54" s="259"/>
      <c r="S54" s="259"/>
      <c r="T54" s="259"/>
      <c r="U54" s="259"/>
      <c r="V54" s="259"/>
      <c r="W54" s="259"/>
      <c r="X54" s="23">
        <f>Y55+Z55+AA55-X55</f>
        <v>2366.5280214800077</v>
      </c>
      <c r="Y54" s="259"/>
      <c r="Z54" s="259"/>
      <c r="AA54" s="259"/>
      <c r="AB54" s="259"/>
      <c r="AC54" s="259"/>
      <c r="AD54" s="259"/>
      <c r="AE54" s="259"/>
      <c r="AF54" s="259"/>
      <c r="AG54" s="260"/>
      <c r="AH54" s="79"/>
    </row>
    <row r="55" spans="1:34" s="35" customFormat="1" hidden="1" x14ac:dyDescent="0.25">
      <c r="A55" s="80" t="s">
        <v>66</v>
      </c>
      <c r="B55" s="345">
        <v>139065142192.88</v>
      </c>
      <c r="C55" s="345">
        <v>34825830201.07</v>
      </c>
      <c r="D55" s="345">
        <v>118719902024.42999</v>
      </c>
      <c r="E55" s="346">
        <f>+F55+G55+H55-E141</f>
        <v>52741394431.549995</v>
      </c>
      <c r="F55" s="345">
        <v>30216308702.209999</v>
      </c>
      <c r="G55" s="345">
        <v>21467526944.419998</v>
      </c>
      <c r="H55" s="345">
        <v>3487234722.8899999</v>
      </c>
      <c r="I55" s="345">
        <v>128415256893.87</v>
      </c>
      <c r="J55" s="345">
        <v>36568025374.949997</v>
      </c>
      <c r="K55" s="345">
        <v>112788309794.11</v>
      </c>
      <c r="L55" s="346">
        <f>+M55+N55+O55-L141</f>
        <v>49828444453.229996</v>
      </c>
      <c r="M55" s="345">
        <v>28703697157.450001</v>
      </c>
      <c r="N55" s="345">
        <v>20216938270.610001</v>
      </c>
      <c r="O55" s="345">
        <v>3274337046.6499996</v>
      </c>
      <c r="P55" s="81">
        <f>B55/1000000</f>
        <v>139065.14219288001</v>
      </c>
      <c r="Q55" s="81">
        <f t="shared" ref="Q55:V70" si="42">D55/1000000</f>
        <v>118719.90202442999</v>
      </c>
      <c r="R55" s="81">
        <f t="shared" si="42"/>
        <v>52741.394431549998</v>
      </c>
      <c r="S55" s="81">
        <f t="shared" si="42"/>
        <v>30216.308702210001</v>
      </c>
      <c r="T55" s="81">
        <f t="shared" si="42"/>
        <v>21467.526944419998</v>
      </c>
      <c r="U55" s="81">
        <f t="shared" si="42"/>
        <v>3487.2347228899998</v>
      </c>
      <c r="V55" s="81">
        <f t="shared" si="42"/>
        <v>128415.25689387</v>
      </c>
      <c r="W55" s="81">
        <f t="shared" ref="W55:AA114" si="43">K55/1000000</f>
        <v>112788.30979411</v>
      </c>
      <c r="X55" s="81">
        <f t="shared" si="43"/>
        <v>49828.444453229997</v>
      </c>
      <c r="Y55" s="81">
        <f t="shared" si="43"/>
        <v>28703.697157450002</v>
      </c>
      <c r="Z55" s="81">
        <f t="shared" si="43"/>
        <v>20216.93827061</v>
      </c>
      <c r="AA55" s="81">
        <f t="shared" si="43"/>
        <v>3274.3370466499996</v>
      </c>
      <c r="AB55" s="81">
        <f t="shared" ref="AB55:AG70" si="44">V55/P55%</f>
        <v>92.341801021395511</v>
      </c>
      <c r="AC55" s="81">
        <f t="shared" si="44"/>
        <v>95.003708620733704</v>
      </c>
      <c r="AD55" s="81">
        <f t="shared" si="44"/>
        <v>94.476918917833032</v>
      </c>
      <c r="AE55" s="81">
        <f t="shared" si="44"/>
        <v>94.994055827046253</v>
      </c>
      <c r="AF55" s="81">
        <f t="shared" si="44"/>
        <v>94.174509821052951</v>
      </c>
      <c r="AG55" s="82">
        <f t="shared" si="44"/>
        <v>93.894942750983972</v>
      </c>
      <c r="AH55" s="83"/>
    </row>
    <row r="56" spans="1:34" s="35" customFormat="1" x14ac:dyDescent="0.25">
      <c r="A56" s="84" t="s">
        <v>67</v>
      </c>
      <c r="B56" s="336">
        <v>8524855065.8699999</v>
      </c>
      <c r="C56" s="336">
        <v>163885412.03</v>
      </c>
      <c r="D56" s="336">
        <v>4340741265.1300001</v>
      </c>
      <c r="E56" s="151">
        <f>F56+G56+H56-E57</f>
        <v>4277337067.0299997</v>
      </c>
      <c r="F56" s="336">
        <v>2074997652.8299999</v>
      </c>
      <c r="G56" s="336">
        <v>1498449803.78</v>
      </c>
      <c r="H56" s="336">
        <v>774551756.15999997</v>
      </c>
      <c r="I56" s="336">
        <v>7209176231.5799999</v>
      </c>
      <c r="J56" s="336">
        <v>240486298.16</v>
      </c>
      <c r="K56" s="336">
        <v>3429961558.8200002</v>
      </c>
      <c r="L56" s="151">
        <f>M56+N56+O56-L57</f>
        <v>3950148401.0500002</v>
      </c>
      <c r="M56" s="336">
        <v>1859047119.1500001</v>
      </c>
      <c r="N56" s="336">
        <v>1427306565.3800001</v>
      </c>
      <c r="O56" s="336">
        <v>733347286.38999999</v>
      </c>
      <c r="P56" s="31">
        <f>B56/1000000</f>
        <v>8524.8550658700005</v>
      </c>
      <c r="Q56" s="31">
        <f t="shared" si="42"/>
        <v>4340.7412651300001</v>
      </c>
      <c r="R56" s="31">
        <f t="shared" si="42"/>
        <v>4277.3370670300001</v>
      </c>
      <c r="S56" s="31">
        <f t="shared" si="42"/>
        <v>2074.9976528299999</v>
      </c>
      <c r="T56" s="31">
        <f t="shared" si="42"/>
        <v>1498.4498037799999</v>
      </c>
      <c r="U56" s="31">
        <f t="shared" si="42"/>
        <v>774.55175615999997</v>
      </c>
      <c r="V56" s="31">
        <f t="shared" si="42"/>
        <v>7209.1762315799997</v>
      </c>
      <c r="W56" s="31">
        <f t="shared" si="43"/>
        <v>3429.9615588200004</v>
      </c>
      <c r="X56" s="31">
        <f>L56/1000000</f>
        <v>3950.1484010500003</v>
      </c>
      <c r="Y56" s="31">
        <f>M56/1000000</f>
        <v>1859.0471191500001</v>
      </c>
      <c r="Z56" s="31">
        <f t="shared" si="43"/>
        <v>1427.3065653800002</v>
      </c>
      <c r="AA56" s="31">
        <f t="shared" si="43"/>
        <v>733.34728639000002</v>
      </c>
      <c r="AB56" s="31">
        <f t="shared" si="44"/>
        <v>84.566554807982172</v>
      </c>
      <c r="AC56" s="31">
        <f t="shared" si="44"/>
        <v>79.017876194868691</v>
      </c>
      <c r="AD56" s="31">
        <f>X56/R56%</f>
        <v>92.350645720628563</v>
      </c>
      <c r="AE56" s="31">
        <f>Y56/S56%</f>
        <v>89.592733592470609</v>
      </c>
      <c r="AF56" s="31">
        <f t="shared" si="44"/>
        <v>95.25221077005493</v>
      </c>
      <c r="AG56" s="32">
        <f>AA56/U56%</f>
        <v>94.680217371879749</v>
      </c>
      <c r="AH56" s="33"/>
    </row>
    <row r="57" spans="1:34" s="217" customFormat="1" hidden="1" x14ac:dyDescent="0.25">
      <c r="A57" s="248" t="s">
        <v>68</v>
      </c>
      <c r="B57" s="252">
        <v>79507926.659999996</v>
      </c>
      <c r="C57" s="307">
        <v>163885412.03</v>
      </c>
      <c r="D57" s="307">
        <v>172731192.94999999</v>
      </c>
      <c r="E57" s="308">
        <f>F57+G57+H57</f>
        <v>70662145.739999995</v>
      </c>
      <c r="F57" s="252">
        <v>0</v>
      </c>
      <c r="G57" s="307">
        <v>53505121</v>
      </c>
      <c r="H57" s="307">
        <v>17157024.739999998</v>
      </c>
      <c r="I57" s="347">
        <v>0</v>
      </c>
      <c r="J57" s="347">
        <v>240486298.16</v>
      </c>
      <c r="K57" s="347">
        <v>170933728.29000002</v>
      </c>
      <c r="L57" s="308">
        <f>M57+N57+O57</f>
        <v>69552569.870000005</v>
      </c>
      <c r="M57" s="347">
        <v>0</v>
      </c>
      <c r="N57" s="347">
        <v>52427738.130000003</v>
      </c>
      <c r="O57" s="347">
        <v>17124831.739999998</v>
      </c>
      <c r="P57" s="215">
        <f>B57/1000000</f>
        <v>79.507926659999995</v>
      </c>
      <c r="Q57" s="215">
        <f t="shared" si="42"/>
        <v>172.73119294999998</v>
      </c>
      <c r="R57" s="215">
        <f>E57/1000000</f>
        <v>70.66214574</v>
      </c>
      <c r="S57" s="215">
        <f>F57/1000000</f>
        <v>0</v>
      </c>
      <c r="T57" s="215">
        <f t="shared" si="42"/>
        <v>53.505121000000003</v>
      </c>
      <c r="U57" s="215">
        <f t="shared" si="42"/>
        <v>17.157024739999997</v>
      </c>
      <c r="V57" s="215"/>
      <c r="W57" s="215">
        <f t="shared" si="43"/>
        <v>170.93372829000003</v>
      </c>
      <c r="X57" s="215"/>
      <c r="Y57" s="215"/>
      <c r="Z57" s="215">
        <f t="shared" si="43"/>
        <v>52.427738130000002</v>
      </c>
      <c r="AA57" s="215">
        <f t="shared" si="43"/>
        <v>17.124831739999998</v>
      </c>
      <c r="AB57" s="215">
        <f t="shared" si="44"/>
        <v>0</v>
      </c>
      <c r="AC57" s="215">
        <f t="shared" si="44"/>
        <v>98.959386183061753</v>
      </c>
      <c r="AD57" s="215"/>
      <c r="AE57" s="215"/>
      <c r="AF57" s="215">
        <f t="shared" si="44"/>
        <v>97.986392984701411</v>
      </c>
      <c r="AG57" s="216">
        <f>AA57/U57%</f>
        <v>99.812362571670462</v>
      </c>
      <c r="AH57" s="249"/>
    </row>
    <row r="58" spans="1:34" s="35" customFormat="1" x14ac:dyDescent="0.25">
      <c r="A58" s="84" t="s">
        <v>69</v>
      </c>
      <c r="B58" s="336">
        <v>44304900</v>
      </c>
      <c r="C58" s="336">
        <v>80033500</v>
      </c>
      <c r="D58" s="336">
        <v>44304900</v>
      </c>
      <c r="E58" s="151">
        <f>F58+G58+H58-E59</f>
        <v>44304900</v>
      </c>
      <c r="F58" s="336">
        <v>8576300</v>
      </c>
      <c r="G58" s="336">
        <v>35728600</v>
      </c>
      <c r="H58" s="336">
        <v>35728600</v>
      </c>
      <c r="I58" s="336">
        <v>44204308.149999999</v>
      </c>
      <c r="J58" s="336">
        <v>79886449.670000002</v>
      </c>
      <c r="K58" s="336">
        <v>44214833.740000002</v>
      </c>
      <c r="L58" s="151">
        <f>M58+N58+O58-L59</f>
        <v>44204308.150000013</v>
      </c>
      <c r="M58" s="336">
        <v>8543217.8100000005</v>
      </c>
      <c r="N58" s="336">
        <v>35671615.93</v>
      </c>
      <c r="O58" s="336">
        <v>35661090.340000004</v>
      </c>
      <c r="P58" s="31">
        <f t="shared" ref="P58:P111" si="45">B58/1000000</f>
        <v>44.304900000000004</v>
      </c>
      <c r="Q58" s="31">
        <f t="shared" si="42"/>
        <v>44.304900000000004</v>
      </c>
      <c r="R58" s="31">
        <f>E58/1000000</f>
        <v>44.304900000000004</v>
      </c>
      <c r="S58" s="31">
        <f>F58/1000000</f>
        <v>8.5762999999999998</v>
      </c>
      <c r="T58" s="31">
        <f t="shared" si="42"/>
        <v>35.7286</v>
      </c>
      <c r="U58" s="31">
        <f t="shared" si="42"/>
        <v>35.7286</v>
      </c>
      <c r="V58" s="31">
        <f t="shared" si="42"/>
        <v>44.204308149999996</v>
      </c>
      <c r="W58" s="31">
        <f t="shared" si="43"/>
        <v>44.214833740000003</v>
      </c>
      <c r="X58" s="31">
        <f t="shared" si="43"/>
        <v>44.20430815000001</v>
      </c>
      <c r="Y58" s="31">
        <f>M58/1000000</f>
        <v>8.5432178099999998</v>
      </c>
      <c r="Z58" s="31">
        <f t="shared" si="43"/>
        <v>35.671615930000002</v>
      </c>
      <c r="AA58" s="31">
        <f t="shared" si="43"/>
        <v>35.661090340000001</v>
      </c>
      <c r="AB58" s="31">
        <f t="shared" si="44"/>
        <v>99.772955474450896</v>
      </c>
      <c r="AC58" s="31">
        <f t="shared" si="44"/>
        <v>99.796712643522497</v>
      </c>
      <c r="AD58" s="31">
        <f t="shared" si="44"/>
        <v>99.772955474450924</v>
      </c>
      <c r="AE58" s="31">
        <f>Y58/S58%</f>
        <v>99.614260345370383</v>
      </c>
      <c r="AF58" s="31">
        <f t="shared" si="44"/>
        <v>99.840508528181914</v>
      </c>
      <c r="AG58" s="32">
        <f>AA58/U58%</f>
        <v>99.811048683687588</v>
      </c>
      <c r="AH58" s="33"/>
    </row>
    <row r="59" spans="1:34" s="217" customFormat="1" hidden="1" x14ac:dyDescent="0.25">
      <c r="A59" s="248" t="s">
        <v>68</v>
      </c>
      <c r="B59" s="252">
        <v>0</v>
      </c>
      <c r="C59" s="252">
        <v>80033500</v>
      </c>
      <c r="D59" s="252">
        <v>44304900</v>
      </c>
      <c r="E59" s="308">
        <f>F59+G59+H59</f>
        <v>35728600</v>
      </c>
      <c r="F59" s="252">
        <v>0</v>
      </c>
      <c r="G59" s="252">
        <v>35728600</v>
      </c>
      <c r="H59" s="252">
        <v>0</v>
      </c>
      <c r="I59" s="252">
        <v>0</v>
      </c>
      <c r="J59" s="252">
        <v>79886449.670000002</v>
      </c>
      <c r="K59" s="252">
        <v>44214833.740000002</v>
      </c>
      <c r="L59" s="308">
        <f>M59+N59+O59</f>
        <v>35671615.93</v>
      </c>
      <c r="M59" s="252">
        <v>0</v>
      </c>
      <c r="N59" s="252">
        <v>35671615.93</v>
      </c>
      <c r="O59" s="252">
        <v>0</v>
      </c>
      <c r="P59" s="215">
        <f t="shared" si="45"/>
        <v>0</v>
      </c>
      <c r="Q59" s="215">
        <f t="shared" si="42"/>
        <v>44.304900000000004</v>
      </c>
      <c r="R59" s="215"/>
      <c r="S59" s="215"/>
      <c r="T59" s="215">
        <f t="shared" si="42"/>
        <v>35.7286</v>
      </c>
      <c r="U59" s="215">
        <f t="shared" si="42"/>
        <v>0</v>
      </c>
      <c r="V59" s="215">
        <f t="shared" si="42"/>
        <v>0</v>
      </c>
      <c r="W59" s="215">
        <f t="shared" si="43"/>
        <v>44.214833740000003</v>
      </c>
      <c r="X59" s="215"/>
      <c r="Y59" s="215"/>
      <c r="Z59" s="215">
        <f t="shared" si="43"/>
        <v>35.671615930000002</v>
      </c>
      <c r="AA59" s="215">
        <f t="shared" si="43"/>
        <v>0</v>
      </c>
      <c r="AB59" s="215"/>
      <c r="AC59" s="215">
        <f t="shared" si="44"/>
        <v>99.796712643522497</v>
      </c>
      <c r="AD59" s="215"/>
      <c r="AE59" s="215"/>
      <c r="AF59" s="215">
        <f t="shared" si="44"/>
        <v>99.840508528181914</v>
      </c>
      <c r="AG59" s="216"/>
      <c r="AH59" s="249"/>
    </row>
    <row r="60" spans="1:34" s="35" customFormat="1" ht="26.4" x14ac:dyDescent="0.25">
      <c r="A60" s="84" t="s">
        <v>70</v>
      </c>
      <c r="B60" s="336">
        <v>1859826812.99</v>
      </c>
      <c r="C60" s="336">
        <v>80589819.760000005</v>
      </c>
      <c r="D60" s="336">
        <v>1597116058.8</v>
      </c>
      <c r="E60" s="151">
        <f>F60+G60+H60-E61</f>
        <v>305488254.19000006</v>
      </c>
      <c r="F60" s="336">
        <v>175740848.43000001</v>
      </c>
      <c r="G60" s="336">
        <v>102633734.48999999</v>
      </c>
      <c r="H60" s="336">
        <v>64925991.030000001</v>
      </c>
      <c r="I60" s="336">
        <v>1832421016.2</v>
      </c>
      <c r="J60" s="336">
        <v>77319621.239999995</v>
      </c>
      <c r="K60" s="336">
        <v>1586001824.3299999</v>
      </c>
      <c r="L60" s="151">
        <f>M60+N60+O60-L61</f>
        <v>286960661.91000003</v>
      </c>
      <c r="M60" s="336">
        <v>167510614.77000001</v>
      </c>
      <c r="N60" s="336">
        <v>96447850.900000006</v>
      </c>
      <c r="O60" s="336">
        <v>59780347.439999998</v>
      </c>
      <c r="P60" s="31">
        <f t="shared" si="45"/>
        <v>1859.82681299</v>
      </c>
      <c r="Q60" s="31">
        <f t="shared" si="42"/>
        <v>1597.1160588</v>
      </c>
      <c r="R60" s="31">
        <f>E60/1000000</f>
        <v>305.48825419000008</v>
      </c>
      <c r="S60" s="31">
        <f>F60/1000000</f>
        <v>175.74084843</v>
      </c>
      <c r="T60" s="31">
        <f t="shared" si="42"/>
        <v>102.63373448999999</v>
      </c>
      <c r="U60" s="31">
        <f t="shared" si="42"/>
        <v>64.925991030000006</v>
      </c>
      <c r="V60" s="31">
        <f t="shared" si="42"/>
        <v>1832.4210161999999</v>
      </c>
      <c r="W60" s="31">
        <f t="shared" si="43"/>
        <v>1586.0018243299999</v>
      </c>
      <c r="X60" s="31">
        <f t="shared" si="43"/>
        <v>286.96066191</v>
      </c>
      <c r="Y60" s="31">
        <f>M60/1000000</f>
        <v>167.51061477000002</v>
      </c>
      <c r="Z60" s="31">
        <f t="shared" si="43"/>
        <v>96.447850900000006</v>
      </c>
      <c r="AA60" s="31">
        <f t="shared" si="43"/>
        <v>59.78034744</v>
      </c>
      <c r="AB60" s="31">
        <f t="shared" si="44"/>
        <v>98.526432859307988</v>
      </c>
      <c r="AC60" s="31">
        <f t="shared" si="44"/>
        <v>99.304106022304296</v>
      </c>
      <c r="AD60" s="31">
        <f t="shared" si="44"/>
        <v>93.935088493295467</v>
      </c>
      <c r="AE60" s="31">
        <f>Y60/S60%</f>
        <v>95.316835139055229</v>
      </c>
      <c r="AF60" s="31">
        <f t="shared" si="44"/>
        <v>93.972855396192656</v>
      </c>
      <c r="AG60" s="32">
        <f t="shared" si="44"/>
        <v>92.074601390955451</v>
      </c>
      <c r="AH60" s="33"/>
    </row>
    <row r="61" spans="1:34" s="217" customFormat="1" hidden="1" x14ac:dyDescent="0.25">
      <c r="A61" s="248" t="s">
        <v>68</v>
      </c>
      <c r="B61" s="252">
        <v>655000</v>
      </c>
      <c r="C61" s="252">
        <v>80589819.760000005</v>
      </c>
      <c r="D61" s="252">
        <v>43432500</v>
      </c>
      <c r="E61" s="308">
        <f>F61+G61+H61</f>
        <v>37812319.760000005</v>
      </c>
      <c r="F61" s="252">
        <v>0</v>
      </c>
      <c r="G61" s="252">
        <v>33740133.090000004</v>
      </c>
      <c r="H61" s="252">
        <v>4072186.67</v>
      </c>
      <c r="I61" s="252">
        <v>0</v>
      </c>
      <c r="J61" s="252">
        <v>77319621.24000001</v>
      </c>
      <c r="K61" s="252">
        <v>40541470.039999999</v>
      </c>
      <c r="L61" s="308">
        <f>M61+N61+O61</f>
        <v>36778151.200000003</v>
      </c>
      <c r="M61" s="252">
        <v>0</v>
      </c>
      <c r="N61" s="252">
        <v>32708887.449999999</v>
      </c>
      <c r="O61" s="252">
        <v>4069263.75</v>
      </c>
      <c r="P61" s="215"/>
      <c r="Q61" s="215">
        <f t="shared" si="42"/>
        <v>43.432499999999997</v>
      </c>
      <c r="R61" s="215"/>
      <c r="S61" s="215"/>
      <c r="T61" s="215">
        <f t="shared" si="42"/>
        <v>33.74013309</v>
      </c>
      <c r="U61" s="215">
        <f t="shared" si="42"/>
        <v>4.0721866699999998</v>
      </c>
      <c r="V61" s="215"/>
      <c r="W61" s="215">
        <f t="shared" si="43"/>
        <v>40.54147004</v>
      </c>
      <c r="X61" s="215"/>
      <c r="Y61" s="215">
        <f t="shared" ref="Y61" si="46">M61/1000000</f>
        <v>0</v>
      </c>
      <c r="Z61" s="215">
        <f t="shared" si="43"/>
        <v>32.708887449999999</v>
      </c>
      <c r="AA61" s="215">
        <f t="shared" si="43"/>
        <v>4.0692637500000002</v>
      </c>
      <c r="AB61" s="215"/>
      <c r="AC61" s="215">
        <f t="shared" si="44"/>
        <v>93.343625257583611</v>
      </c>
      <c r="AD61" s="215"/>
      <c r="AE61" s="215"/>
      <c r="AF61" s="215">
        <f t="shared" si="44"/>
        <v>96.943563805011649</v>
      </c>
      <c r="AG61" s="216">
        <f t="shared" si="44"/>
        <v>99.92822234742988</v>
      </c>
      <c r="AH61" s="249"/>
    </row>
    <row r="62" spans="1:34" s="35" customFormat="1" x14ac:dyDescent="0.25">
      <c r="A62" s="84" t="s">
        <v>71</v>
      </c>
      <c r="B62" s="336">
        <v>20537973145.080002</v>
      </c>
      <c r="C62" s="336">
        <v>2796951781.48</v>
      </c>
      <c r="D62" s="336">
        <v>17477984377.540001</v>
      </c>
      <c r="E62" s="151">
        <f>F62+G62+H62-E63</f>
        <v>5426271170.2799997</v>
      </c>
      <c r="F62" s="336">
        <v>4230692408.1199999</v>
      </c>
      <c r="G62" s="336">
        <v>1004948593.33</v>
      </c>
      <c r="H62" s="336">
        <v>621299547.56999993</v>
      </c>
      <c r="I62" s="336">
        <v>19062302289.459999</v>
      </c>
      <c r="J62" s="336">
        <v>3261300948.1700001</v>
      </c>
      <c r="K62" s="336">
        <v>16746853777.26</v>
      </c>
      <c r="L62" s="151">
        <f>M62+N62+O62-L63</f>
        <v>5166397167.6599998</v>
      </c>
      <c r="M62" s="336">
        <v>4086327794.6199999</v>
      </c>
      <c r="N62" s="336">
        <v>910078893.38</v>
      </c>
      <c r="O62" s="336">
        <v>580342772.37</v>
      </c>
      <c r="P62" s="31">
        <f t="shared" si="45"/>
        <v>20537.973145080003</v>
      </c>
      <c r="Q62" s="31">
        <f t="shared" si="42"/>
        <v>17477.98437754</v>
      </c>
      <c r="R62" s="31">
        <f>E62/1000000</f>
        <v>5426.2711702799998</v>
      </c>
      <c r="S62" s="31">
        <f>F62/1000000</f>
        <v>4230.6924081199995</v>
      </c>
      <c r="T62" s="31">
        <f t="shared" si="42"/>
        <v>1004.94859333</v>
      </c>
      <c r="U62" s="31">
        <f t="shared" si="42"/>
        <v>621.29954756999996</v>
      </c>
      <c r="V62" s="31">
        <f t="shared" si="42"/>
        <v>19062.30228946</v>
      </c>
      <c r="W62" s="31">
        <f t="shared" si="43"/>
        <v>16746.853777259999</v>
      </c>
      <c r="X62" s="31">
        <f t="shared" si="43"/>
        <v>5166.3971676599995</v>
      </c>
      <c r="Y62" s="31">
        <f>M62/1000000</f>
        <v>4086.3277946200001</v>
      </c>
      <c r="Z62" s="31">
        <f t="shared" si="43"/>
        <v>910.07889337999995</v>
      </c>
      <c r="AA62" s="31">
        <f t="shared" si="43"/>
        <v>580.34277237000003</v>
      </c>
      <c r="AB62" s="31">
        <f t="shared" si="44"/>
        <v>92.814914864305834</v>
      </c>
      <c r="AC62" s="31">
        <f t="shared" si="44"/>
        <v>95.816848301915542</v>
      </c>
      <c r="AD62" s="31">
        <f t="shared" si="44"/>
        <v>95.210817991490273</v>
      </c>
      <c r="AE62" s="31">
        <f>Y62/S62%</f>
        <v>96.587683537973135</v>
      </c>
      <c r="AF62" s="31">
        <f t="shared" si="44"/>
        <v>90.559745983061731</v>
      </c>
      <c r="AG62" s="32">
        <f t="shared" si="44"/>
        <v>93.407885880460029</v>
      </c>
      <c r="AH62" s="33"/>
    </row>
    <row r="63" spans="1:34" s="217" customFormat="1" hidden="1" x14ac:dyDescent="0.25">
      <c r="A63" s="248" t="s">
        <v>68</v>
      </c>
      <c r="B63" s="252">
        <v>555330515.13999999</v>
      </c>
      <c r="C63" s="252">
        <v>2796951781.48</v>
      </c>
      <c r="D63" s="252">
        <v>2921612917.8800001</v>
      </c>
      <c r="E63" s="308">
        <f>F63+G63+H63</f>
        <v>430669378.74000001</v>
      </c>
      <c r="F63" s="252">
        <v>0</v>
      </c>
      <c r="G63" s="252">
        <v>408042711.30000001</v>
      </c>
      <c r="H63" s="252">
        <v>22626667.439999998</v>
      </c>
      <c r="I63" s="252">
        <v>0</v>
      </c>
      <c r="J63" s="252">
        <v>3261300948.1700001</v>
      </c>
      <c r="K63" s="252">
        <v>2850948655.46</v>
      </c>
      <c r="L63" s="308">
        <f>M63+N63+O63</f>
        <v>410352292.70999998</v>
      </c>
      <c r="M63" s="252">
        <v>0</v>
      </c>
      <c r="N63" s="252">
        <v>388015893.62</v>
      </c>
      <c r="O63" s="252">
        <v>22336399.089999996</v>
      </c>
      <c r="P63" s="215">
        <f t="shared" si="45"/>
        <v>555.33051513999999</v>
      </c>
      <c r="Q63" s="215">
        <f t="shared" si="42"/>
        <v>2921.6129178800002</v>
      </c>
      <c r="R63" s="215"/>
      <c r="S63" s="215"/>
      <c r="T63" s="215">
        <f t="shared" si="42"/>
        <v>408.04271130000001</v>
      </c>
      <c r="U63" s="215">
        <f t="shared" si="42"/>
        <v>22.626667439999999</v>
      </c>
      <c r="V63" s="215">
        <f t="shared" si="42"/>
        <v>0</v>
      </c>
      <c r="W63" s="215">
        <f t="shared" si="43"/>
        <v>2850.9486554599998</v>
      </c>
      <c r="X63" s="215"/>
      <c r="Y63" s="215"/>
      <c r="Z63" s="215">
        <f t="shared" si="43"/>
        <v>388.01589361999999</v>
      </c>
      <c r="AA63" s="215">
        <f t="shared" si="43"/>
        <v>22.336399089999997</v>
      </c>
      <c r="AB63" s="215">
        <f t="shared" si="44"/>
        <v>0</v>
      </c>
      <c r="AC63" s="215">
        <f t="shared" si="44"/>
        <v>97.581327013323985</v>
      </c>
      <c r="AD63" s="250" t="s">
        <v>31</v>
      </c>
      <c r="AE63" s="250" t="s">
        <v>31</v>
      </c>
      <c r="AF63" s="215">
        <f t="shared" si="44"/>
        <v>95.091980048805254</v>
      </c>
      <c r="AG63" s="216">
        <f t="shared" si="44"/>
        <v>98.71714051231929</v>
      </c>
      <c r="AH63" s="249"/>
    </row>
    <row r="64" spans="1:34" x14ac:dyDescent="0.25">
      <c r="A64" s="85" t="s">
        <v>72</v>
      </c>
      <c r="B64" s="300">
        <v>695496200.73000002</v>
      </c>
      <c r="C64" s="300">
        <v>0</v>
      </c>
      <c r="D64" s="300">
        <v>695446200.73000002</v>
      </c>
      <c r="E64" s="348">
        <f>F64+G64+H64</f>
        <v>50000</v>
      </c>
      <c r="F64" s="300">
        <v>0</v>
      </c>
      <c r="G64" s="300">
        <v>0</v>
      </c>
      <c r="H64" s="300">
        <v>50000</v>
      </c>
      <c r="I64" s="300">
        <v>665931111.12</v>
      </c>
      <c r="J64" s="300">
        <v>0</v>
      </c>
      <c r="K64" s="300">
        <v>665881111.12</v>
      </c>
      <c r="L64" s="348">
        <f>M64+N64+O64</f>
        <v>50000</v>
      </c>
      <c r="M64" s="300">
        <v>0</v>
      </c>
      <c r="N64" s="300">
        <v>0</v>
      </c>
      <c r="O64" s="300">
        <v>50000</v>
      </c>
      <c r="P64" s="27">
        <f t="shared" si="45"/>
        <v>695.49620073000006</v>
      </c>
      <c r="Q64" s="27">
        <f t="shared" si="42"/>
        <v>695.44620072999999</v>
      </c>
      <c r="R64" s="27">
        <f>E64/1000000</f>
        <v>0.05</v>
      </c>
      <c r="S64" s="27">
        <f>F64/1000000</f>
        <v>0</v>
      </c>
      <c r="T64" s="27">
        <f t="shared" si="42"/>
        <v>0</v>
      </c>
      <c r="U64" s="27">
        <f t="shared" si="42"/>
        <v>0.05</v>
      </c>
      <c r="V64" s="27">
        <f t="shared" si="42"/>
        <v>665.93111111999997</v>
      </c>
      <c r="W64" s="27">
        <f t="shared" si="43"/>
        <v>665.88111112000001</v>
      </c>
      <c r="X64" s="27">
        <f>L64/1000000</f>
        <v>0.05</v>
      </c>
      <c r="Y64" s="27">
        <f>M64/1000000</f>
        <v>0</v>
      </c>
      <c r="Z64" s="27">
        <f t="shared" si="43"/>
        <v>0</v>
      </c>
      <c r="AA64" s="27">
        <f t="shared" si="43"/>
        <v>0.05</v>
      </c>
      <c r="AB64" s="27">
        <f t="shared" si="44"/>
        <v>95.749065260317991</v>
      </c>
      <c r="AC64" s="27">
        <f t="shared" si="44"/>
        <v>95.748759633891751</v>
      </c>
      <c r="AD64" s="27">
        <f t="shared" ref="AD64" si="47">X64/R64%</f>
        <v>100</v>
      </c>
      <c r="AE64" s="43" t="s">
        <v>31</v>
      </c>
      <c r="AF64" s="43" t="s">
        <v>31</v>
      </c>
      <c r="AG64" s="29">
        <f t="shared" ref="AG64" si="48">AA64/U64%</f>
        <v>100</v>
      </c>
      <c r="AH64" s="26"/>
    </row>
    <row r="65" spans="1:34" hidden="1" x14ac:dyDescent="0.25">
      <c r="A65" s="85" t="s">
        <v>73</v>
      </c>
      <c r="B65" s="300">
        <v>58385781.640000001</v>
      </c>
      <c r="C65" s="300">
        <v>0</v>
      </c>
      <c r="D65" s="300">
        <v>58385250</v>
      </c>
      <c r="E65" s="151">
        <f>F65+G65+H65-E66</f>
        <v>531.64</v>
      </c>
      <c r="F65" s="300">
        <v>0</v>
      </c>
      <c r="G65" s="300">
        <v>531.64</v>
      </c>
      <c r="H65" s="300">
        <v>0</v>
      </c>
      <c r="I65" s="300">
        <v>58375781.350000001</v>
      </c>
      <c r="J65" s="300">
        <v>0</v>
      </c>
      <c r="K65" s="300">
        <v>58375249.710000001</v>
      </c>
      <c r="L65" s="302">
        <f>M65+N65+O65-L66</f>
        <v>531.64</v>
      </c>
      <c r="M65" s="300">
        <v>0</v>
      </c>
      <c r="N65" s="300">
        <v>531.64</v>
      </c>
      <c r="O65" s="300">
        <v>0</v>
      </c>
      <c r="P65" s="27">
        <f t="shared" si="45"/>
        <v>58.385781639999998</v>
      </c>
      <c r="Q65" s="27">
        <f t="shared" si="42"/>
        <v>58.385249999999999</v>
      </c>
      <c r="R65" s="27">
        <f>E65/1000000</f>
        <v>5.3164E-4</v>
      </c>
      <c r="S65" s="27">
        <f>F65/1000000</f>
        <v>0</v>
      </c>
      <c r="T65" s="27">
        <f t="shared" si="42"/>
        <v>5.3164E-4</v>
      </c>
      <c r="U65" s="27">
        <f t="shared" si="42"/>
        <v>0</v>
      </c>
      <c r="V65" s="27">
        <f t="shared" si="42"/>
        <v>58.375781350000004</v>
      </c>
      <c r="W65" s="27">
        <f t="shared" si="43"/>
        <v>58.375249709999999</v>
      </c>
      <c r="X65" s="27">
        <f>L65/1000000</f>
        <v>5.3164E-4</v>
      </c>
      <c r="Y65" s="27">
        <f>M65/1000000</f>
        <v>0</v>
      </c>
      <c r="Z65" s="27">
        <f t="shared" si="43"/>
        <v>5.3164E-4</v>
      </c>
      <c r="AA65" s="27">
        <f t="shared" si="43"/>
        <v>0</v>
      </c>
      <c r="AB65" s="27">
        <f t="shared" si="44"/>
        <v>99.982872045694862</v>
      </c>
      <c r="AC65" s="27">
        <f t="shared" si="44"/>
        <v>99.982871889732422</v>
      </c>
      <c r="AD65" s="43" t="s">
        <v>31</v>
      </c>
      <c r="AE65" s="43" t="s">
        <v>31</v>
      </c>
      <c r="AF65" s="43" t="s">
        <v>31</v>
      </c>
      <c r="AG65" s="40" t="s">
        <v>31</v>
      </c>
      <c r="AH65" s="26"/>
    </row>
    <row r="66" spans="1:34" s="217" customFormat="1" hidden="1" x14ac:dyDescent="0.25">
      <c r="A66" s="248" t="s">
        <v>74</v>
      </c>
      <c r="B66" s="347"/>
      <c r="C66" s="347"/>
      <c r="D66" s="347"/>
      <c r="E66" s="308">
        <f>F66+G66+H66</f>
        <v>0</v>
      </c>
      <c r="F66" s="347"/>
      <c r="G66" s="347"/>
      <c r="H66" s="347"/>
      <c r="I66" s="347"/>
      <c r="J66" s="347"/>
      <c r="K66" s="347"/>
      <c r="L66" s="308">
        <f>M66+N66+O66</f>
        <v>0</v>
      </c>
      <c r="M66" s="347"/>
      <c r="N66" s="347"/>
      <c r="O66" s="347"/>
      <c r="P66" s="215"/>
      <c r="Q66" s="215">
        <f t="shared" si="42"/>
        <v>0</v>
      </c>
      <c r="R66" s="215"/>
      <c r="S66" s="215"/>
      <c r="T66" s="215">
        <f t="shared" si="42"/>
        <v>0</v>
      </c>
      <c r="U66" s="215">
        <f t="shared" si="42"/>
        <v>0</v>
      </c>
      <c r="V66" s="215"/>
      <c r="W66" s="215">
        <f t="shared" si="43"/>
        <v>0</v>
      </c>
      <c r="X66" s="215"/>
      <c r="Y66" s="215"/>
      <c r="Z66" s="215">
        <f t="shared" si="43"/>
        <v>0</v>
      </c>
      <c r="AA66" s="215">
        <f t="shared" si="43"/>
        <v>0</v>
      </c>
      <c r="AB66" s="251"/>
      <c r="AC66" s="215" t="e">
        <f t="shared" si="44"/>
        <v>#DIV/0!</v>
      </c>
      <c r="AD66" s="27" t="e">
        <f t="shared" ref="AD66:AD80" si="49">X66/R66%</f>
        <v>#DIV/0!</v>
      </c>
      <c r="AE66" s="43" t="s">
        <v>31</v>
      </c>
      <c r="AF66" s="27" t="e">
        <f t="shared" ref="AF66:AF80" si="50">Z66/T66%</f>
        <v>#DIV/0!</v>
      </c>
      <c r="AG66" s="29" t="e">
        <f t="shared" ref="AG66:AG80" si="51">AA66/U66%</f>
        <v>#DIV/0!</v>
      </c>
      <c r="AH66" s="249"/>
    </row>
    <row r="67" spans="1:34" x14ac:dyDescent="0.25">
      <c r="A67" s="85" t="s">
        <v>75</v>
      </c>
      <c r="B67" s="300">
        <v>1253864599.4400001</v>
      </c>
      <c r="C67" s="300">
        <v>1564648</v>
      </c>
      <c r="D67" s="300">
        <v>1241942707.5</v>
      </c>
      <c r="E67" s="151">
        <f>F67+G67+H67-E68</f>
        <v>12566339.939999999</v>
      </c>
      <c r="F67" s="300">
        <v>0</v>
      </c>
      <c r="G67" s="300">
        <v>12416803.939999999</v>
      </c>
      <c r="H67" s="300">
        <v>1069736</v>
      </c>
      <c r="I67" s="300">
        <v>1253288944.0999999</v>
      </c>
      <c r="J67" s="300">
        <v>1564648</v>
      </c>
      <c r="K67" s="300">
        <v>1241876492.2</v>
      </c>
      <c r="L67" s="302">
        <f>M67+N67+O67-L68</f>
        <v>12056899.9</v>
      </c>
      <c r="M67" s="300">
        <v>0</v>
      </c>
      <c r="N67" s="300">
        <v>12204013.9</v>
      </c>
      <c r="O67" s="300">
        <v>773086</v>
      </c>
      <c r="P67" s="27">
        <f t="shared" si="45"/>
        <v>1253.8645994400001</v>
      </c>
      <c r="Q67" s="27">
        <f t="shared" si="42"/>
        <v>1241.9427075000001</v>
      </c>
      <c r="R67" s="27">
        <f>E67/1000000</f>
        <v>12.566339939999999</v>
      </c>
      <c r="S67" s="27">
        <f>F67/1000000</f>
        <v>0</v>
      </c>
      <c r="T67" s="27">
        <f t="shared" si="42"/>
        <v>12.416803939999999</v>
      </c>
      <c r="U67" s="27">
        <f t="shared" si="42"/>
        <v>1.069736</v>
      </c>
      <c r="V67" s="27">
        <f t="shared" si="42"/>
        <v>1253.2889441</v>
      </c>
      <c r="W67" s="27">
        <f t="shared" si="43"/>
        <v>1241.8764922</v>
      </c>
      <c r="X67" s="27">
        <f>L67/1000000</f>
        <v>12.056899900000001</v>
      </c>
      <c r="Y67" s="27">
        <f>M67/1000000</f>
        <v>0</v>
      </c>
      <c r="Z67" s="27">
        <f t="shared" si="43"/>
        <v>12.2040139</v>
      </c>
      <c r="AA67" s="27">
        <f t="shared" si="43"/>
        <v>0.77308600000000005</v>
      </c>
      <c r="AB67" s="27">
        <f t="shared" si="44"/>
        <v>99.954089513312894</v>
      </c>
      <c r="AC67" s="27">
        <f t="shared" si="44"/>
        <v>99.994668409452359</v>
      </c>
      <c r="AD67" s="27">
        <f t="shared" si="49"/>
        <v>95.945995075476233</v>
      </c>
      <c r="AE67" s="43" t="s">
        <v>31</v>
      </c>
      <c r="AF67" s="27">
        <f t="shared" si="50"/>
        <v>98.286273657631739</v>
      </c>
      <c r="AG67" s="29">
        <f t="shared" si="51"/>
        <v>72.268858858634289</v>
      </c>
      <c r="AH67" s="26"/>
    </row>
    <row r="68" spans="1:34" s="217" customFormat="1" hidden="1" x14ac:dyDescent="0.25">
      <c r="A68" s="248" t="s">
        <v>74</v>
      </c>
      <c r="B68" s="347">
        <v>0</v>
      </c>
      <c r="C68" s="347">
        <v>1564648</v>
      </c>
      <c r="D68" s="347">
        <v>644448</v>
      </c>
      <c r="E68" s="308">
        <f>F68+G68+H68</f>
        <v>920200</v>
      </c>
      <c r="F68" s="347">
        <v>0</v>
      </c>
      <c r="G68" s="347">
        <v>920200</v>
      </c>
      <c r="H68" s="347">
        <v>0</v>
      </c>
      <c r="I68" s="252">
        <v>0</v>
      </c>
      <c r="J68" s="252">
        <v>1564648</v>
      </c>
      <c r="K68" s="252">
        <v>644448</v>
      </c>
      <c r="L68" s="308">
        <f>M68+N68+O68</f>
        <v>920200</v>
      </c>
      <c r="M68" s="252">
        <v>0</v>
      </c>
      <c r="N68" s="252">
        <v>920200</v>
      </c>
      <c r="O68" s="252">
        <v>0</v>
      </c>
      <c r="P68" s="215"/>
      <c r="Q68" s="215">
        <f t="shared" si="42"/>
        <v>0.64444800000000002</v>
      </c>
      <c r="R68" s="215"/>
      <c r="S68" s="215"/>
      <c r="T68" s="215">
        <f t="shared" si="42"/>
        <v>0.92020000000000002</v>
      </c>
      <c r="U68" s="215">
        <f t="shared" si="42"/>
        <v>0</v>
      </c>
      <c r="V68" s="215"/>
      <c r="W68" s="215">
        <f t="shared" si="43"/>
        <v>0.64444800000000002</v>
      </c>
      <c r="X68" s="215"/>
      <c r="Y68" s="215"/>
      <c r="Z68" s="215">
        <f t="shared" si="43"/>
        <v>0.92020000000000002</v>
      </c>
      <c r="AA68" s="215">
        <f t="shared" si="43"/>
        <v>0</v>
      </c>
      <c r="AB68" s="215"/>
      <c r="AC68" s="215">
        <f t="shared" si="44"/>
        <v>100</v>
      </c>
      <c r="AD68" s="27" t="e">
        <f t="shared" si="49"/>
        <v>#DIV/0!</v>
      </c>
      <c r="AE68" s="43" t="s">
        <v>31</v>
      </c>
      <c r="AF68" s="27">
        <f t="shared" si="50"/>
        <v>100</v>
      </c>
      <c r="AG68" s="29" t="e">
        <f t="shared" si="51"/>
        <v>#DIV/0!</v>
      </c>
      <c r="AH68" s="249"/>
    </row>
    <row r="69" spans="1:34" hidden="1" x14ac:dyDescent="0.25">
      <c r="A69" s="85" t="s">
        <v>76</v>
      </c>
      <c r="B69" s="89">
        <v>26254309.640000001</v>
      </c>
      <c r="C69" s="89">
        <v>0</v>
      </c>
      <c r="D69" s="89">
        <v>22227927.5</v>
      </c>
      <c r="E69" s="151">
        <f>F69+G69+H69-E70</f>
        <v>4026382.14</v>
      </c>
      <c r="F69" s="89">
        <v>0</v>
      </c>
      <c r="G69" s="89">
        <v>6382.14</v>
      </c>
      <c r="H69" s="89">
        <v>4020000</v>
      </c>
      <c r="I69" s="300">
        <v>25819438.789999999</v>
      </c>
      <c r="J69" s="300">
        <v>0</v>
      </c>
      <c r="K69" s="300">
        <v>21814367.140000001</v>
      </c>
      <c r="L69" s="302">
        <f>M69+N69+O69-L70</f>
        <v>4005071.65</v>
      </c>
      <c r="M69" s="300">
        <v>0</v>
      </c>
      <c r="N69" s="300">
        <v>5071.6499999999996</v>
      </c>
      <c r="O69" s="300">
        <v>4000000</v>
      </c>
      <c r="P69" s="27">
        <f t="shared" si="45"/>
        <v>26.254309639999999</v>
      </c>
      <c r="Q69" s="27">
        <f t="shared" si="42"/>
        <v>22.2279275</v>
      </c>
      <c r="R69" s="27">
        <f>E69/1000000</f>
        <v>4.0263821399999999</v>
      </c>
      <c r="S69" s="27">
        <f>F69/1000000</f>
        <v>0</v>
      </c>
      <c r="T69" s="27">
        <f t="shared" si="42"/>
        <v>6.3821400000000006E-3</v>
      </c>
      <c r="U69" s="27">
        <f t="shared" si="42"/>
        <v>4.0199999999999996</v>
      </c>
      <c r="V69" s="27">
        <f t="shared" si="42"/>
        <v>25.81943879</v>
      </c>
      <c r="W69" s="27">
        <f t="shared" si="43"/>
        <v>21.814367140000002</v>
      </c>
      <c r="X69" s="27">
        <f>L69/1000000</f>
        <v>4.0050716499999997</v>
      </c>
      <c r="Y69" s="27">
        <f>M69/1000000</f>
        <v>0</v>
      </c>
      <c r="Z69" s="27">
        <f t="shared" si="43"/>
        <v>5.0716499999999996E-3</v>
      </c>
      <c r="AA69" s="27">
        <f t="shared" si="43"/>
        <v>4</v>
      </c>
      <c r="AB69" s="27">
        <f t="shared" si="44"/>
        <v>98.34362108178442</v>
      </c>
      <c r="AC69" s="27">
        <f t="shared" si="44"/>
        <v>98.139456051402007</v>
      </c>
      <c r="AD69" s="27">
        <f t="shared" si="49"/>
        <v>99.470728578187064</v>
      </c>
      <c r="AE69" s="43" t="s">
        <v>31</v>
      </c>
      <c r="AF69" s="27">
        <f t="shared" si="50"/>
        <v>79.466291870751789</v>
      </c>
      <c r="AG69" s="29">
        <f t="shared" si="51"/>
        <v>99.502487562189074</v>
      </c>
      <c r="AH69" s="26"/>
    </row>
    <row r="70" spans="1:34" s="217" customFormat="1" hidden="1" x14ac:dyDescent="0.25">
      <c r="A70" s="248" t="s">
        <v>74</v>
      </c>
      <c r="B70" s="252"/>
      <c r="C70" s="252"/>
      <c r="D70" s="252"/>
      <c r="E70" s="308">
        <f>F70+G70+H70</f>
        <v>0</v>
      </c>
      <c r="F70" s="252"/>
      <c r="G70" s="252"/>
      <c r="H70" s="252"/>
      <c r="I70" s="252"/>
      <c r="J70" s="252"/>
      <c r="K70" s="252"/>
      <c r="L70" s="308">
        <f>M70+N70+O70</f>
        <v>0</v>
      </c>
      <c r="M70" s="252"/>
      <c r="N70" s="252"/>
      <c r="O70" s="252"/>
      <c r="P70" s="215"/>
      <c r="Q70" s="215">
        <f t="shared" si="42"/>
        <v>0</v>
      </c>
      <c r="R70" s="215"/>
      <c r="S70" s="215"/>
      <c r="T70" s="215">
        <f t="shared" si="42"/>
        <v>0</v>
      </c>
      <c r="U70" s="215">
        <f t="shared" si="42"/>
        <v>0</v>
      </c>
      <c r="V70" s="215"/>
      <c r="W70" s="215">
        <f t="shared" si="43"/>
        <v>0</v>
      </c>
      <c r="X70" s="215"/>
      <c r="Y70" s="215"/>
      <c r="Z70" s="215">
        <f t="shared" si="43"/>
        <v>0</v>
      </c>
      <c r="AA70" s="215">
        <f t="shared" si="43"/>
        <v>0</v>
      </c>
      <c r="AB70" s="215"/>
      <c r="AC70" s="215" t="e">
        <f t="shared" si="44"/>
        <v>#DIV/0!</v>
      </c>
      <c r="AD70" s="27" t="e">
        <f t="shared" si="49"/>
        <v>#DIV/0!</v>
      </c>
      <c r="AE70" s="43" t="e">
        <f t="shared" ref="AE70:AE80" si="52">Y70/S70%</f>
        <v>#DIV/0!</v>
      </c>
      <c r="AF70" s="27" t="e">
        <f t="shared" si="50"/>
        <v>#DIV/0!</v>
      </c>
      <c r="AG70" s="29" t="e">
        <f t="shared" si="51"/>
        <v>#DIV/0!</v>
      </c>
      <c r="AH70" s="249"/>
    </row>
    <row r="71" spans="1:34" x14ac:dyDescent="0.25">
      <c r="A71" s="85" t="s">
        <v>77</v>
      </c>
      <c r="B71" s="300">
        <v>1458782821.05</v>
      </c>
      <c r="C71" s="300">
        <v>0</v>
      </c>
      <c r="D71" s="300">
        <v>1458261821.05</v>
      </c>
      <c r="E71" s="151">
        <f>F71+G71+H71-E72</f>
        <v>521000</v>
      </c>
      <c r="F71" s="300">
        <v>521000</v>
      </c>
      <c r="G71" s="300">
        <v>0</v>
      </c>
      <c r="H71" s="300">
        <v>0</v>
      </c>
      <c r="I71" s="300">
        <v>1452556362.1099999</v>
      </c>
      <c r="J71" s="300">
        <v>0</v>
      </c>
      <c r="K71" s="300">
        <v>1452152432.1099999</v>
      </c>
      <c r="L71" s="151">
        <f>M71+N71+O71-L72</f>
        <v>403930</v>
      </c>
      <c r="M71" s="300">
        <v>403930</v>
      </c>
      <c r="N71" s="300">
        <v>0</v>
      </c>
      <c r="O71" s="300">
        <v>0</v>
      </c>
      <c r="P71" s="27">
        <f t="shared" si="45"/>
        <v>1458.7828210499999</v>
      </c>
      <c r="Q71" s="27">
        <f>D71/1000000</f>
        <v>1458.26182105</v>
      </c>
      <c r="R71" s="27">
        <f>E71/1000000</f>
        <v>0.52100000000000002</v>
      </c>
      <c r="S71" s="27">
        <f>F71/1000000</f>
        <v>0.52100000000000002</v>
      </c>
      <c r="T71" s="27">
        <f t="shared" ref="T71:V113" si="53">G71/1000000</f>
        <v>0</v>
      </c>
      <c r="U71" s="27">
        <f t="shared" si="53"/>
        <v>0</v>
      </c>
      <c r="V71" s="27">
        <f t="shared" si="53"/>
        <v>1452.5563621099998</v>
      </c>
      <c r="W71" s="27">
        <f t="shared" si="43"/>
        <v>1452.1524321099998</v>
      </c>
      <c r="X71" s="27">
        <f>L71/1000000</f>
        <v>0.40393000000000001</v>
      </c>
      <c r="Y71" s="27">
        <f>M71/1000000</f>
        <v>0.40393000000000001</v>
      </c>
      <c r="Z71" s="27">
        <f t="shared" si="43"/>
        <v>0</v>
      </c>
      <c r="AA71" s="27">
        <f t="shared" si="43"/>
        <v>0</v>
      </c>
      <c r="AB71" s="27">
        <f>V71/P71%</f>
        <v>99.573174371801386</v>
      </c>
      <c r="AC71" s="27">
        <f>W71/Q71%</f>
        <v>99.581049928633448</v>
      </c>
      <c r="AD71" s="27">
        <f t="shared" si="49"/>
        <v>77.529750479846442</v>
      </c>
      <c r="AE71" s="27">
        <f t="shared" si="52"/>
        <v>77.529750479846442</v>
      </c>
      <c r="AF71" s="43" t="s">
        <v>31</v>
      </c>
      <c r="AG71" s="40" t="s">
        <v>31</v>
      </c>
      <c r="AH71" s="26"/>
    </row>
    <row r="72" spans="1:34" s="217" customFormat="1" hidden="1" x14ac:dyDescent="0.25">
      <c r="A72" s="248" t="s">
        <v>74</v>
      </c>
      <c r="B72" s="347"/>
      <c r="C72" s="347"/>
      <c r="D72" s="347"/>
      <c r="E72" s="308">
        <f>F72+G72+H72</f>
        <v>0</v>
      </c>
      <c r="F72" s="347"/>
      <c r="G72" s="347"/>
      <c r="H72" s="347"/>
      <c r="I72" s="349"/>
      <c r="J72" s="349"/>
      <c r="K72" s="349"/>
      <c r="L72" s="308">
        <f>M72+N72+O72</f>
        <v>0</v>
      </c>
      <c r="M72" s="347"/>
      <c r="N72" s="347"/>
      <c r="O72" s="347"/>
      <c r="P72" s="215"/>
      <c r="Q72" s="215">
        <f t="shared" ref="Q72:S114" si="54">D72/1000000</f>
        <v>0</v>
      </c>
      <c r="R72" s="215"/>
      <c r="S72" s="215"/>
      <c r="T72" s="215">
        <f>G72/1000000</f>
        <v>0</v>
      </c>
      <c r="U72" s="215">
        <f t="shared" si="53"/>
        <v>0</v>
      </c>
      <c r="V72" s="215"/>
      <c r="W72" s="215">
        <f>K72/1000000</f>
        <v>0</v>
      </c>
      <c r="X72" s="215"/>
      <c r="Y72" s="215"/>
      <c r="Z72" s="215">
        <f>N72/1000000</f>
        <v>0</v>
      </c>
      <c r="AA72" s="215"/>
      <c r="AB72" s="251"/>
      <c r="AC72" s="215"/>
      <c r="AD72" s="27" t="e">
        <f t="shared" si="49"/>
        <v>#DIV/0!</v>
      </c>
      <c r="AE72" s="27" t="e">
        <f t="shared" si="52"/>
        <v>#DIV/0!</v>
      </c>
      <c r="AF72" s="27" t="e">
        <f t="shared" si="50"/>
        <v>#DIV/0!</v>
      </c>
      <c r="AG72" s="29" t="e">
        <f t="shared" si="51"/>
        <v>#DIV/0!</v>
      </c>
      <c r="AH72" s="249"/>
    </row>
    <row r="73" spans="1:34" x14ac:dyDescent="0.25">
      <c r="A73" s="85" t="s">
        <v>78</v>
      </c>
      <c r="B73" s="300">
        <v>2453881616.3299999</v>
      </c>
      <c r="C73" s="300">
        <v>131665590.78</v>
      </c>
      <c r="D73" s="300">
        <v>2160763782.4299998</v>
      </c>
      <c r="E73" s="151">
        <f>F73+G73+H73-E74</f>
        <v>379252488.74000001</v>
      </c>
      <c r="F73" s="300">
        <v>216202361.75</v>
      </c>
      <c r="G73" s="300">
        <v>149441866.31999999</v>
      </c>
      <c r="H73" s="300">
        <v>59139196.609999999</v>
      </c>
      <c r="I73" s="300">
        <v>2042426477.45</v>
      </c>
      <c r="J73" s="300">
        <v>131979060.89</v>
      </c>
      <c r="K73" s="300">
        <v>1759067769.4300001</v>
      </c>
      <c r="L73" s="302">
        <f>M73+N73+O73-L74</f>
        <v>372700288.36999995</v>
      </c>
      <c r="M73" s="300">
        <v>215451168.21000001</v>
      </c>
      <c r="N73" s="300">
        <v>143809958.68000001</v>
      </c>
      <c r="O73" s="300">
        <v>56076642.019999996</v>
      </c>
      <c r="P73" s="27">
        <f t="shared" si="45"/>
        <v>2453.8816163299998</v>
      </c>
      <c r="Q73" s="27">
        <f t="shared" si="54"/>
        <v>2160.76378243</v>
      </c>
      <c r="R73" s="27">
        <f>E73/1000000</f>
        <v>379.25248873999999</v>
      </c>
      <c r="S73" s="27">
        <f>F73/1000000</f>
        <v>216.20236174999999</v>
      </c>
      <c r="T73" s="27">
        <f t="shared" si="53"/>
        <v>149.44186632</v>
      </c>
      <c r="U73" s="27">
        <f t="shared" si="53"/>
        <v>59.139196609999999</v>
      </c>
      <c r="V73" s="27">
        <f t="shared" si="53"/>
        <v>2042.42647745</v>
      </c>
      <c r="W73" s="27">
        <f t="shared" si="43"/>
        <v>1759.06776943</v>
      </c>
      <c r="X73" s="27">
        <f>L73/1000000</f>
        <v>372.70028836999995</v>
      </c>
      <c r="Y73" s="27">
        <f>M73/1000000</f>
        <v>215.45116821000002</v>
      </c>
      <c r="Z73" s="27">
        <f t="shared" si="43"/>
        <v>143.80995867999999</v>
      </c>
      <c r="AA73" s="27">
        <f t="shared" si="43"/>
        <v>56.076642019999994</v>
      </c>
      <c r="AB73" s="27">
        <f>V73/P73%</f>
        <v>83.232478040429356</v>
      </c>
      <c r="AC73" s="27">
        <f t="shared" ref="AC73:AE139" si="55">W73/Q73%</f>
        <v>81.409536004520973</v>
      </c>
      <c r="AD73" s="27">
        <f t="shared" si="49"/>
        <v>98.272338200925574</v>
      </c>
      <c r="AE73" s="27">
        <f t="shared" si="52"/>
        <v>99.652550724275343</v>
      </c>
      <c r="AF73" s="27">
        <f t="shared" si="50"/>
        <v>96.231372252846199</v>
      </c>
      <c r="AG73" s="29">
        <f t="shared" si="51"/>
        <v>94.821447084923449</v>
      </c>
      <c r="AH73" s="26"/>
    </row>
    <row r="74" spans="1:34" s="217" customFormat="1" hidden="1" x14ac:dyDescent="0.25">
      <c r="A74" s="248" t="s">
        <v>74</v>
      </c>
      <c r="B74" s="347">
        <v>4966728.63</v>
      </c>
      <c r="C74" s="347">
        <v>131665590.78</v>
      </c>
      <c r="D74" s="347">
        <v>91101383.469999999</v>
      </c>
      <c r="E74" s="308">
        <f>F74+G74+H74</f>
        <v>45530935.940000005</v>
      </c>
      <c r="F74" s="347">
        <v>0</v>
      </c>
      <c r="G74" s="347">
        <v>40828276.340000004</v>
      </c>
      <c r="H74" s="347">
        <v>4702659.5999999996</v>
      </c>
      <c r="I74" s="347">
        <v>0</v>
      </c>
      <c r="J74" s="347">
        <v>131979060.89</v>
      </c>
      <c r="K74" s="347">
        <v>89341580.349999994</v>
      </c>
      <c r="L74" s="308">
        <f>M74+N74+O74</f>
        <v>42637480.539999999</v>
      </c>
      <c r="M74" s="347">
        <v>0</v>
      </c>
      <c r="N74" s="347">
        <v>37934820.939999998</v>
      </c>
      <c r="O74" s="347">
        <v>4702659.5999999996</v>
      </c>
      <c r="P74" s="215"/>
      <c r="Q74" s="215">
        <f t="shared" si="54"/>
        <v>91.101383470000002</v>
      </c>
      <c r="R74" s="215"/>
      <c r="S74" s="215"/>
      <c r="T74" s="215">
        <f t="shared" si="53"/>
        <v>40.828276340000002</v>
      </c>
      <c r="U74" s="215">
        <f t="shared" si="53"/>
        <v>4.7026595999999996</v>
      </c>
      <c r="V74" s="215"/>
      <c r="W74" s="215">
        <f t="shared" si="43"/>
        <v>89.341580350000001</v>
      </c>
      <c r="X74" s="215"/>
      <c r="Y74" s="215"/>
      <c r="Z74" s="215">
        <f t="shared" si="43"/>
        <v>37.934820939999994</v>
      </c>
      <c r="AA74" s="215">
        <f t="shared" si="43"/>
        <v>4.7026595999999996</v>
      </c>
      <c r="AB74" s="215"/>
      <c r="AC74" s="215">
        <f t="shared" si="55"/>
        <v>98.068302529588365</v>
      </c>
      <c r="AD74" s="27" t="e">
        <f t="shared" si="49"/>
        <v>#DIV/0!</v>
      </c>
      <c r="AE74" s="27" t="e">
        <f t="shared" si="52"/>
        <v>#DIV/0!</v>
      </c>
      <c r="AF74" s="27">
        <f t="shared" si="50"/>
        <v>92.913109101387036</v>
      </c>
      <c r="AG74" s="29">
        <f t="shared" si="51"/>
        <v>100</v>
      </c>
      <c r="AH74" s="249"/>
    </row>
    <row r="75" spans="1:34" x14ac:dyDescent="0.25">
      <c r="A75" s="85" t="s">
        <v>79</v>
      </c>
      <c r="B75" s="300">
        <v>13390574254.219999</v>
      </c>
      <c r="C75" s="300">
        <v>2656926630.4099998</v>
      </c>
      <c r="D75" s="300">
        <v>10833690560.27</v>
      </c>
      <c r="E75" s="151">
        <f>F75+G75+H75-E76</f>
        <v>4830882689.7600002</v>
      </c>
      <c r="F75" s="300">
        <v>3910716652.98</v>
      </c>
      <c r="G75" s="300">
        <v>764964325.61000001</v>
      </c>
      <c r="H75" s="300">
        <v>538129345.76999998</v>
      </c>
      <c r="I75" s="300">
        <v>12400134603.35</v>
      </c>
      <c r="J75" s="300">
        <v>3120450699.5700002</v>
      </c>
      <c r="K75" s="300">
        <v>10546341650.440001</v>
      </c>
      <c r="L75" s="302">
        <f>M75+N75+O75-L76</f>
        <v>4608739648.5099993</v>
      </c>
      <c r="M75" s="300">
        <v>3770312646.1700001</v>
      </c>
      <c r="N75" s="300">
        <v>701766238.15999997</v>
      </c>
      <c r="O75" s="300">
        <v>502164768.15000004</v>
      </c>
      <c r="P75" s="27">
        <f t="shared" si="45"/>
        <v>13390.574254219999</v>
      </c>
      <c r="Q75" s="27">
        <f t="shared" si="54"/>
        <v>10833.690560270001</v>
      </c>
      <c r="R75" s="27">
        <f>E75/1000000</f>
        <v>4830.8826897600002</v>
      </c>
      <c r="S75" s="27">
        <f>F75/1000000</f>
        <v>3910.7166529800002</v>
      </c>
      <c r="T75" s="27">
        <f t="shared" si="53"/>
        <v>764.96432561000006</v>
      </c>
      <c r="U75" s="27">
        <f t="shared" si="53"/>
        <v>538.12934576999999</v>
      </c>
      <c r="V75" s="27">
        <f t="shared" si="53"/>
        <v>12400.134603350001</v>
      </c>
      <c r="W75" s="27">
        <f t="shared" si="43"/>
        <v>10546.341650440001</v>
      </c>
      <c r="X75" s="27">
        <f>L75/1000000</f>
        <v>4608.7396485099989</v>
      </c>
      <c r="Y75" s="27">
        <f>M75/1000000</f>
        <v>3770.3126461699999</v>
      </c>
      <c r="Z75" s="27">
        <f t="shared" si="43"/>
        <v>701.76623815999994</v>
      </c>
      <c r="AA75" s="27">
        <f t="shared" si="43"/>
        <v>502.16476815000004</v>
      </c>
      <c r="AB75" s="27">
        <f>V75/P75%</f>
        <v>92.603456490614178</v>
      </c>
      <c r="AC75" s="27">
        <f t="shared" si="55"/>
        <v>97.347635985803535</v>
      </c>
      <c r="AD75" s="27">
        <f t="shared" si="49"/>
        <v>95.401605555008061</v>
      </c>
      <c r="AE75" s="27">
        <f t="shared" si="52"/>
        <v>96.409762729728541</v>
      </c>
      <c r="AF75" s="27">
        <f t="shared" si="50"/>
        <v>91.73842683453185</v>
      </c>
      <c r="AG75" s="29">
        <f t="shared" si="51"/>
        <v>93.31674105813002</v>
      </c>
      <c r="AH75" s="26"/>
    </row>
    <row r="76" spans="1:34" s="217" customFormat="1" hidden="1" x14ac:dyDescent="0.25">
      <c r="A76" s="248" t="s">
        <v>74</v>
      </c>
      <c r="B76" s="347">
        <v>549851609.09000003</v>
      </c>
      <c r="C76" s="347">
        <v>2656926630.4099998</v>
      </c>
      <c r="D76" s="347">
        <v>2823850604.9000001</v>
      </c>
      <c r="E76" s="308">
        <f>F76+G76+H76</f>
        <v>382927634.59999996</v>
      </c>
      <c r="F76" s="347">
        <v>0</v>
      </c>
      <c r="G76" s="347">
        <v>365637726.75999999</v>
      </c>
      <c r="H76" s="347">
        <v>17289907.84</v>
      </c>
      <c r="I76" s="347">
        <v>0</v>
      </c>
      <c r="J76" s="347">
        <v>3120450699.5700002</v>
      </c>
      <c r="K76" s="347">
        <v>2754946695.5999999</v>
      </c>
      <c r="L76" s="308">
        <f>M76+N76+O76</f>
        <v>365504003.97000003</v>
      </c>
      <c r="M76" s="347">
        <v>0</v>
      </c>
      <c r="N76" s="347">
        <v>348504364.48000002</v>
      </c>
      <c r="O76" s="347">
        <v>16999639.489999998</v>
      </c>
      <c r="P76" s="215">
        <f t="shared" si="45"/>
        <v>549.85160909000001</v>
      </c>
      <c r="Q76" s="215">
        <f t="shared" si="54"/>
        <v>2823.8506049000002</v>
      </c>
      <c r="R76" s="215"/>
      <c r="S76" s="215"/>
      <c r="T76" s="215">
        <f t="shared" si="53"/>
        <v>365.63772675999996</v>
      </c>
      <c r="U76" s="215">
        <f t="shared" si="53"/>
        <v>17.289907840000001</v>
      </c>
      <c r="V76" s="215">
        <f t="shared" si="53"/>
        <v>0</v>
      </c>
      <c r="W76" s="215">
        <f t="shared" si="43"/>
        <v>2754.9466956000001</v>
      </c>
      <c r="X76" s="215"/>
      <c r="Y76" s="215"/>
      <c r="Z76" s="215">
        <f t="shared" si="43"/>
        <v>348.50436447999999</v>
      </c>
      <c r="AA76" s="215">
        <f t="shared" si="43"/>
        <v>16.99963949</v>
      </c>
      <c r="AB76" s="215"/>
      <c r="AC76" s="215">
        <f t="shared" si="55"/>
        <v>97.559930784566419</v>
      </c>
      <c r="AD76" s="27" t="e">
        <f t="shared" si="49"/>
        <v>#DIV/0!</v>
      </c>
      <c r="AE76" s="27" t="e">
        <f t="shared" si="52"/>
        <v>#DIV/0!</v>
      </c>
      <c r="AF76" s="27">
        <f t="shared" si="50"/>
        <v>95.314115304286943</v>
      </c>
      <c r="AG76" s="29">
        <f t="shared" si="51"/>
        <v>98.321168899880021</v>
      </c>
      <c r="AH76" s="249"/>
    </row>
    <row r="77" spans="1:34" hidden="1" x14ac:dyDescent="0.25">
      <c r="A77" s="85" t="s">
        <v>80</v>
      </c>
      <c r="B77" s="300">
        <v>65966964.439999998</v>
      </c>
      <c r="C77" s="300">
        <v>0</v>
      </c>
      <c r="D77" s="300">
        <v>52572723.93</v>
      </c>
      <c r="E77" s="151">
        <f>F77+G77+H77-E78</f>
        <v>13394240.51</v>
      </c>
      <c r="F77" s="300">
        <v>12298938.51</v>
      </c>
      <c r="G77" s="300">
        <v>1095302</v>
      </c>
      <c r="H77" s="300">
        <v>0</v>
      </c>
      <c r="I77" s="300">
        <v>65757202.18</v>
      </c>
      <c r="J77" s="300">
        <v>0</v>
      </c>
      <c r="K77" s="300">
        <v>52366964.670000002</v>
      </c>
      <c r="L77" s="302">
        <f>M77+N77+O77-L78</f>
        <v>13390237.51</v>
      </c>
      <c r="M77" s="300">
        <v>12298938.51</v>
      </c>
      <c r="N77" s="300">
        <v>1091299</v>
      </c>
      <c r="O77" s="300">
        <v>0</v>
      </c>
      <c r="P77" s="27">
        <f t="shared" si="45"/>
        <v>65.966964439999998</v>
      </c>
      <c r="Q77" s="27">
        <f t="shared" si="54"/>
        <v>52.572723930000002</v>
      </c>
      <c r="R77" s="27">
        <f>E77/1000000</f>
        <v>13.394240509999999</v>
      </c>
      <c r="S77" s="27">
        <f>F77/1000000</f>
        <v>12.298938509999999</v>
      </c>
      <c r="T77" s="27">
        <f t="shared" si="53"/>
        <v>1.095302</v>
      </c>
      <c r="U77" s="27">
        <f t="shared" si="53"/>
        <v>0</v>
      </c>
      <c r="V77" s="27">
        <f t="shared" si="53"/>
        <v>65.757202179999993</v>
      </c>
      <c r="W77" s="27">
        <f t="shared" si="43"/>
        <v>52.366964670000002</v>
      </c>
      <c r="X77" s="27">
        <f t="shared" si="43"/>
        <v>13.39023751</v>
      </c>
      <c r="Y77" s="27">
        <f t="shared" si="43"/>
        <v>12.298938509999999</v>
      </c>
      <c r="Z77" s="27">
        <f t="shared" si="43"/>
        <v>1.091299</v>
      </c>
      <c r="AA77" s="27">
        <f t="shared" si="43"/>
        <v>0</v>
      </c>
      <c r="AB77" s="27">
        <f>V77/P77%</f>
        <v>99.682019232231326</v>
      </c>
      <c r="AC77" s="27">
        <f t="shared" si="55"/>
        <v>99.608619746859674</v>
      </c>
      <c r="AD77" s="27">
        <f t="shared" si="49"/>
        <v>99.970114020298425</v>
      </c>
      <c r="AE77" s="27">
        <f t="shared" si="52"/>
        <v>100</v>
      </c>
      <c r="AF77" s="27">
        <f t="shared" si="50"/>
        <v>99.634530020030994</v>
      </c>
      <c r="AG77" s="40" t="s">
        <v>31</v>
      </c>
      <c r="AH77" s="26"/>
    </row>
    <row r="78" spans="1:34" s="217" customFormat="1" hidden="1" x14ac:dyDescent="0.25">
      <c r="A78" s="248" t="s">
        <v>74</v>
      </c>
      <c r="B78" s="347"/>
      <c r="C78" s="347"/>
      <c r="D78" s="347"/>
      <c r="E78" s="308">
        <f>F78+G78+H78</f>
        <v>0</v>
      </c>
      <c r="F78" s="347"/>
      <c r="G78" s="347"/>
      <c r="H78" s="347"/>
      <c r="I78" s="347"/>
      <c r="J78" s="347"/>
      <c r="K78" s="347"/>
      <c r="L78" s="308">
        <f>M78+N78+O78</f>
        <v>0</v>
      </c>
      <c r="M78" s="347"/>
      <c r="N78" s="347"/>
      <c r="O78" s="347"/>
      <c r="P78" s="215"/>
      <c r="Q78" s="215">
        <f t="shared" si="54"/>
        <v>0</v>
      </c>
      <c r="R78" s="215"/>
      <c r="S78" s="215"/>
      <c r="T78" s="49">
        <f t="shared" si="53"/>
        <v>0</v>
      </c>
      <c r="U78" s="215">
        <f t="shared" si="53"/>
        <v>0</v>
      </c>
      <c r="V78" s="215">
        <f t="shared" si="53"/>
        <v>0</v>
      </c>
      <c r="W78" s="215">
        <f>K78/1000000</f>
        <v>0</v>
      </c>
      <c r="X78" s="215"/>
      <c r="Y78" s="215"/>
      <c r="Z78" s="49">
        <f t="shared" si="43"/>
        <v>0</v>
      </c>
      <c r="AA78" s="215"/>
      <c r="AB78" s="215"/>
      <c r="AC78" s="49" t="e">
        <f t="shared" si="55"/>
        <v>#DIV/0!</v>
      </c>
      <c r="AD78" s="27" t="e">
        <f t="shared" si="49"/>
        <v>#DIV/0!</v>
      </c>
      <c r="AE78" s="43" t="e">
        <f t="shared" si="52"/>
        <v>#DIV/0!</v>
      </c>
      <c r="AF78" s="27" t="e">
        <f t="shared" si="50"/>
        <v>#DIV/0!</v>
      </c>
      <c r="AG78" s="29" t="e">
        <f t="shared" si="51"/>
        <v>#DIV/0!</v>
      </c>
      <c r="AH78" s="249"/>
    </row>
    <row r="79" spans="1:34" ht="26.4" hidden="1" x14ac:dyDescent="0.25">
      <c r="A79" s="85" t="s">
        <v>497</v>
      </c>
      <c r="B79" s="300">
        <v>8669941</v>
      </c>
      <c r="C79" s="300">
        <v>0</v>
      </c>
      <c r="D79" s="300">
        <v>8669941</v>
      </c>
      <c r="E79" s="346">
        <f>F79+G79+H79</f>
        <v>0</v>
      </c>
      <c r="F79" s="300">
        <v>0</v>
      </c>
      <c r="G79" s="300">
        <v>0</v>
      </c>
      <c r="H79" s="300">
        <v>0</v>
      </c>
      <c r="I79" s="300">
        <v>6057947</v>
      </c>
      <c r="J79" s="300">
        <v>0</v>
      </c>
      <c r="K79" s="300">
        <v>6057947</v>
      </c>
      <c r="L79" s="346">
        <f>M79+N79+O79</f>
        <v>0</v>
      </c>
      <c r="M79" s="300">
        <v>0</v>
      </c>
      <c r="N79" s="300">
        <v>0</v>
      </c>
      <c r="O79" s="300">
        <v>0</v>
      </c>
      <c r="P79" s="27">
        <f t="shared" ref="P79" si="56">B79/1000000</f>
        <v>8.6699409999999997</v>
      </c>
      <c r="Q79" s="27">
        <f t="shared" ref="Q79" si="57">D79/1000000</f>
        <v>8.6699409999999997</v>
      </c>
      <c r="R79" s="27">
        <f>E79/1000000</f>
        <v>0</v>
      </c>
      <c r="S79" s="27">
        <f>F79/1000000</f>
        <v>0</v>
      </c>
      <c r="T79" s="27">
        <f t="shared" ref="T79" si="58">G79/1000000</f>
        <v>0</v>
      </c>
      <c r="U79" s="27">
        <f t="shared" ref="U79" si="59">H79/1000000</f>
        <v>0</v>
      </c>
      <c r="V79" s="27">
        <f t="shared" ref="V79" si="60">I79/1000000</f>
        <v>6.0579470000000004</v>
      </c>
      <c r="W79" s="27">
        <f t="shared" ref="W79" si="61">K79/1000000</f>
        <v>6.0579470000000004</v>
      </c>
      <c r="X79" s="27">
        <f t="shared" ref="X79" si="62">L79/1000000</f>
        <v>0</v>
      </c>
      <c r="Y79" s="27">
        <f t="shared" ref="Y79" si="63">M79/1000000</f>
        <v>0</v>
      </c>
      <c r="Z79" s="27">
        <f t="shared" ref="Z79" si="64">N79/1000000</f>
        <v>0</v>
      </c>
      <c r="AA79" s="27">
        <f t="shared" ref="AA79" si="65">O79/1000000</f>
        <v>0</v>
      </c>
      <c r="AB79" s="27">
        <f t="shared" ref="AB79:AB84" si="66">V79/P79%</f>
        <v>69.872989908466522</v>
      </c>
      <c r="AC79" s="27">
        <f t="shared" ref="AC79" si="67">W79/Q79%</f>
        <v>69.872989908466522</v>
      </c>
      <c r="AD79" s="43" t="s">
        <v>31</v>
      </c>
      <c r="AE79" s="43" t="s">
        <v>31</v>
      </c>
      <c r="AF79" s="43" t="s">
        <v>31</v>
      </c>
      <c r="AG79" s="40" t="s">
        <v>31</v>
      </c>
      <c r="AH79" s="26"/>
    </row>
    <row r="80" spans="1:34" ht="26.4" x14ac:dyDescent="0.25">
      <c r="A80" s="85" t="s">
        <v>81</v>
      </c>
      <c r="B80" s="300">
        <v>1126096656.5899999</v>
      </c>
      <c r="C80" s="300">
        <v>6794912.29</v>
      </c>
      <c r="D80" s="300">
        <v>946023463.13</v>
      </c>
      <c r="E80" s="151">
        <f>F80+G80+H80-E81</f>
        <v>185577497.55000001</v>
      </c>
      <c r="F80" s="300">
        <v>90953454.879999995</v>
      </c>
      <c r="G80" s="300">
        <v>77023381.680000007</v>
      </c>
      <c r="H80" s="300">
        <v>18891269.190000001</v>
      </c>
      <c r="I80" s="300">
        <v>1091954422.01</v>
      </c>
      <c r="J80" s="300">
        <v>7306539.71</v>
      </c>
      <c r="K80" s="300">
        <v>942919793.44000006</v>
      </c>
      <c r="L80" s="302">
        <f>M80+N80+O80-L81</f>
        <v>155050560.08000004</v>
      </c>
      <c r="M80" s="300">
        <v>87861111.730000004</v>
      </c>
      <c r="N80" s="300">
        <v>51201780.350000001</v>
      </c>
      <c r="O80" s="300">
        <v>17278276.200000003</v>
      </c>
      <c r="P80" s="27">
        <f t="shared" si="45"/>
        <v>1126.0966565899998</v>
      </c>
      <c r="Q80" s="27">
        <f t="shared" si="54"/>
        <v>946.02346312999998</v>
      </c>
      <c r="R80" s="27">
        <f t="shared" si="54"/>
        <v>185.57749755</v>
      </c>
      <c r="S80" s="27">
        <f t="shared" si="54"/>
        <v>90.953454879999995</v>
      </c>
      <c r="T80" s="27">
        <f t="shared" si="53"/>
        <v>77.023381680000014</v>
      </c>
      <c r="U80" s="27">
        <f t="shared" si="53"/>
        <v>18.891269190000003</v>
      </c>
      <c r="V80" s="27">
        <f t="shared" si="53"/>
        <v>1091.9544220099999</v>
      </c>
      <c r="W80" s="27">
        <f t="shared" si="43"/>
        <v>942.91979344000003</v>
      </c>
      <c r="X80" s="27">
        <f t="shared" si="43"/>
        <v>155.05056008000005</v>
      </c>
      <c r="Y80" s="27">
        <f t="shared" si="43"/>
        <v>87.861111730000005</v>
      </c>
      <c r="Z80" s="27">
        <f t="shared" si="43"/>
        <v>51.20178035</v>
      </c>
      <c r="AA80" s="27">
        <f t="shared" si="43"/>
        <v>17.278276200000004</v>
      </c>
      <c r="AB80" s="27">
        <f t="shared" si="66"/>
        <v>96.968090227406577</v>
      </c>
      <c r="AC80" s="27">
        <f t="shared" si="55"/>
        <v>99.67192466033228</v>
      </c>
      <c r="AD80" s="27">
        <f t="shared" si="49"/>
        <v>83.550302233289301</v>
      </c>
      <c r="AE80" s="43">
        <f t="shared" si="52"/>
        <v>96.600081707638381</v>
      </c>
      <c r="AF80" s="27">
        <f t="shared" si="50"/>
        <v>66.475632766582507</v>
      </c>
      <c r="AG80" s="29">
        <f t="shared" si="51"/>
        <v>91.461701308804436</v>
      </c>
      <c r="AH80" s="26"/>
    </row>
    <row r="81" spans="1:35" s="217" customFormat="1" hidden="1" x14ac:dyDescent="0.25">
      <c r="A81" s="248" t="s">
        <v>74</v>
      </c>
      <c r="B81" s="347">
        <v>512177.42</v>
      </c>
      <c r="C81" s="347">
        <v>6794912.29</v>
      </c>
      <c r="D81" s="347">
        <v>6016481.5099999998</v>
      </c>
      <c r="E81" s="308">
        <f>F81+G81+H81</f>
        <v>1290608.2</v>
      </c>
      <c r="F81" s="347">
        <v>0</v>
      </c>
      <c r="G81" s="347">
        <v>656508.19999999995</v>
      </c>
      <c r="H81" s="347">
        <v>634100</v>
      </c>
      <c r="I81" s="347">
        <v>0</v>
      </c>
      <c r="J81" s="347">
        <v>7306539.71</v>
      </c>
      <c r="K81" s="347">
        <v>6015931.5099999998</v>
      </c>
      <c r="L81" s="308">
        <f>M81+N81+O81</f>
        <v>1290608.2</v>
      </c>
      <c r="M81" s="347">
        <v>0</v>
      </c>
      <c r="N81" s="347">
        <v>656508.19999999995</v>
      </c>
      <c r="O81" s="347">
        <v>634100</v>
      </c>
      <c r="P81" s="215">
        <f t="shared" si="45"/>
        <v>0.51217741999999999</v>
      </c>
      <c r="Q81" s="215">
        <f t="shared" si="54"/>
        <v>6.0164815100000002</v>
      </c>
      <c r="R81" s="215">
        <f t="shared" si="54"/>
        <v>1.2906081999999999</v>
      </c>
      <c r="S81" s="215">
        <f t="shared" si="54"/>
        <v>0</v>
      </c>
      <c r="T81" s="215">
        <f t="shared" si="53"/>
        <v>0.65650819999999999</v>
      </c>
      <c r="U81" s="215">
        <f t="shared" si="53"/>
        <v>0.6341</v>
      </c>
      <c r="V81" s="215">
        <f t="shared" si="53"/>
        <v>0</v>
      </c>
      <c r="W81" s="215">
        <f t="shared" si="43"/>
        <v>6.0159315099999997</v>
      </c>
      <c r="X81" s="215"/>
      <c r="Y81" s="215"/>
      <c r="Z81" s="215">
        <f t="shared" si="43"/>
        <v>0.65650819999999999</v>
      </c>
      <c r="AA81" s="215">
        <f t="shared" si="43"/>
        <v>0.6341</v>
      </c>
      <c r="AB81" s="215">
        <f t="shared" si="66"/>
        <v>0</v>
      </c>
      <c r="AC81" s="215">
        <f t="shared" si="55"/>
        <v>99.99085844443988</v>
      </c>
      <c r="AD81" s="215"/>
      <c r="AE81" s="215"/>
      <c r="AF81" s="215">
        <f t="shared" ref="AF81:AG91" si="68">Z81/T81%</f>
        <v>100</v>
      </c>
      <c r="AG81" s="216">
        <f t="shared" si="68"/>
        <v>100</v>
      </c>
      <c r="AH81" s="249"/>
    </row>
    <row r="82" spans="1:35" s="35" customFormat="1" ht="13.5" customHeight="1" x14ac:dyDescent="0.25">
      <c r="A82" s="30" t="s">
        <v>82</v>
      </c>
      <c r="B82" s="336">
        <v>15360151363.549999</v>
      </c>
      <c r="C82" s="336">
        <v>4117490741.3600001</v>
      </c>
      <c r="D82" s="336">
        <v>12221897740.370001</v>
      </c>
      <c r="E82" s="151">
        <f>F82+G82+H82-E83</f>
        <v>6418503099.8800001</v>
      </c>
      <c r="F82" s="336">
        <v>4337393421.8400002</v>
      </c>
      <c r="G82" s="336">
        <v>1591578593.28</v>
      </c>
      <c r="H82" s="336">
        <v>1326772349.4200001</v>
      </c>
      <c r="I82" s="336">
        <v>12398658851.440001</v>
      </c>
      <c r="J82" s="336">
        <v>4148023284.9499998</v>
      </c>
      <c r="K82" s="336">
        <v>10291934814.370001</v>
      </c>
      <c r="L82" s="151">
        <f>M82+N82+O82-L83</f>
        <v>5442115296.6099997</v>
      </c>
      <c r="M82" s="336">
        <v>3678078116.9499998</v>
      </c>
      <c r="N82" s="336">
        <v>1358660277.3599999</v>
      </c>
      <c r="O82" s="336">
        <v>1218008927.71</v>
      </c>
      <c r="P82" s="31">
        <f t="shared" si="45"/>
        <v>15360.15136355</v>
      </c>
      <c r="Q82" s="31">
        <f t="shared" si="54"/>
        <v>12221.897740370001</v>
      </c>
      <c r="R82" s="31">
        <f t="shared" si="54"/>
        <v>6418.5030998800003</v>
      </c>
      <c r="S82" s="31">
        <f t="shared" si="54"/>
        <v>4337.39342184</v>
      </c>
      <c r="T82" s="31">
        <f t="shared" si="53"/>
        <v>1591.57859328</v>
      </c>
      <c r="U82" s="31">
        <f t="shared" si="53"/>
        <v>1326.7723494200002</v>
      </c>
      <c r="V82" s="31">
        <f t="shared" si="53"/>
        <v>12398.658851440001</v>
      </c>
      <c r="W82" s="31">
        <f t="shared" si="43"/>
        <v>10291.934814370001</v>
      </c>
      <c r="X82" s="31">
        <f t="shared" si="43"/>
        <v>5442.1152966099999</v>
      </c>
      <c r="Y82" s="31">
        <f t="shared" si="43"/>
        <v>3678.0781169499996</v>
      </c>
      <c r="Z82" s="31">
        <f t="shared" si="43"/>
        <v>1358.6602773599998</v>
      </c>
      <c r="AA82" s="31">
        <f t="shared" si="43"/>
        <v>1218.0089277100001</v>
      </c>
      <c r="AB82" s="31">
        <f t="shared" si="66"/>
        <v>80.719639787289523</v>
      </c>
      <c r="AC82" s="31">
        <f t="shared" si="55"/>
        <v>84.208975013551594</v>
      </c>
      <c r="AD82" s="31">
        <f>X82/R82%</f>
        <v>84.787920359682388</v>
      </c>
      <c r="AE82" s="31">
        <f>Y82/S82%</f>
        <v>84.799273647390109</v>
      </c>
      <c r="AF82" s="31">
        <f t="shared" si="68"/>
        <v>85.365578746570662</v>
      </c>
      <c r="AG82" s="32">
        <f t="shared" si="68"/>
        <v>91.802405155824502</v>
      </c>
      <c r="AH82" s="33"/>
    </row>
    <row r="83" spans="1:35" s="58" customFormat="1" hidden="1" x14ac:dyDescent="0.25">
      <c r="A83" s="253" t="s">
        <v>68</v>
      </c>
      <c r="B83" s="350">
        <v>815537400.45000005</v>
      </c>
      <c r="C83" s="350">
        <v>4117490741.3599997</v>
      </c>
      <c r="D83" s="350">
        <v>4095786877.1500001</v>
      </c>
      <c r="E83" s="309">
        <f>F83+G83+H83</f>
        <v>837241264.66000009</v>
      </c>
      <c r="F83" s="350">
        <v>0</v>
      </c>
      <c r="G83" s="350">
        <v>829950649.45000005</v>
      </c>
      <c r="H83" s="350">
        <v>7290615.2100000009</v>
      </c>
      <c r="I83" s="350">
        <v>0</v>
      </c>
      <c r="J83" s="350">
        <v>4148023284.9500003</v>
      </c>
      <c r="K83" s="350">
        <v>3335391259.5399995</v>
      </c>
      <c r="L83" s="309">
        <f>M83+N83+O83</f>
        <v>812632025.40999997</v>
      </c>
      <c r="M83" s="350">
        <v>0</v>
      </c>
      <c r="N83" s="350">
        <v>805859681.60000002</v>
      </c>
      <c r="O83" s="350">
        <v>6772343.8100000005</v>
      </c>
      <c r="P83" s="49">
        <f t="shared" si="45"/>
        <v>815.53740045000006</v>
      </c>
      <c r="Q83" s="49">
        <f t="shared" si="54"/>
        <v>4095.7868771500002</v>
      </c>
      <c r="R83" s="49"/>
      <c r="S83" s="49"/>
      <c r="T83" s="49">
        <f t="shared" si="53"/>
        <v>829.95064945000001</v>
      </c>
      <c r="U83" s="49">
        <f t="shared" si="53"/>
        <v>7.2906152100000012</v>
      </c>
      <c r="V83" s="49">
        <f t="shared" si="53"/>
        <v>0</v>
      </c>
      <c r="W83" s="49">
        <f t="shared" si="43"/>
        <v>3335.3912595399993</v>
      </c>
      <c r="X83" s="49"/>
      <c r="Y83" s="49"/>
      <c r="Z83" s="49">
        <f t="shared" si="43"/>
        <v>805.85968160000004</v>
      </c>
      <c r="AA83" s="49">
        <f t="shared" si="43"/>
        <v>6.7723438100000006</v>
      </c>
      <c r="AB83" s="49">
        <f t="shared" si="66"/>
        <v>0</v>
      </c>
      <c r="AC83" s="49">
        <f t="shared" si="55"/>
        <v>81.434687877629216</v>
      </c>
      <c r="AD83" s="254"/>
      <c r="AE83" s="49"/>
      <c r="AF83" s="49">
        <f t="shared" si="68"/>
        <v>97.097301162910725</v>
      </c>
      <c r="AG83" s="218">
        <f t="shared" si="68"/>
        <v>92.891252863144857</v>
      </c>
      <c r="AH83" s="78"/>
    </row>
    <row r="84" spans="1:35" x14ac:dyDescent="0.25">
      <c r="A84" s="90" t="s">
        <v>83</v>
      </c>
      <c r="B84" s="89">
        <v>5897640092.0200005</v>
      </c>
      <c r="C84" s="89">
        <v>2480564789.3899999</v>
      </c>
      <c r="D84" s="89">
        <v>4840774124.9099998</v>
      </c>
      <c r="E84" s="151">
        <f>F84+G84+H84-E85</f>
        <v>3434077607.8299999</v>
      </c>
      <c r="F84" s="89">
        <v>2782876323.3600001</v>
      </c>
      <c r="G84" s="89">
        <v>550260851.63999999</v>
      </c>
      <c r="H84" s="89">
        <v>204293581.5</v>
      </c>
      <c r="I84" s="89">
        <v>3855618682.71</v>
      </c>
      <c r="J84" s="89">
        <v>2071607716.6700001</v>
      </c>
      <c r="K84" s="89">
        <v>3190535059.54</v>
      </c>
      <c r="L84" s="151">
        <f>M84+N84+O84-L85</f>
        <v>2639531485.2000003</v>
      </c>
      <c r="M84" s="89">
        <v>2172343066.29</v>
      </c>
      <c r="N84" s="89">
        <v>386172981.39999998</v>
      </c>
      <c r="O84" s="89">
        <v>178175292.15000001</v>
      </c>
      <c r="P84" s="27">
        <f>B84/1000000</f>
        <v>5897.6400920200003</v>
      </c>
      <c r="Q84" s="27">
        <f t="shared" si="54"/>
        <v>4840.77412491</v>
      </c>
      <c r="R84" s="27">
        <f>E84/1000000</f>
        <v>3434.07760783</v>
      </c>
      <c r="S84" s="27">
        <f>F84/1000000</f>
        <v>2782.8763233600002</v>
      </c>
      <c r="T84" s="27">
        <f>G84/1000000</f>
        <v>550.26085163999994</v>
      </c>
      <c r="U84" s="27">
        <f>H84/1000000</f>
        <v>204.29358149999999</v>
      </c>
      <c r="V84" s="27">
        <f>I84/1000000</f>
        <v>3855.61868271</v>
      </c>
      <c r="W84" s="27">
        <f>K84/1000000</f>
        <v>3190.53505954</v>
      </c>
      <c r="X84" s="27">
        <f>L84/1000000</f>
        <v>2639.5314852000001</v>
      </c>
      <c r="Y84" s="27">
        <f>M84/1000000</f>
        <v>2172.34306629</v>
      </c>
      <c r="Z84" s="27">
        <f>N84/1000000</f>
        <v>386.17298139999997</v>
      </c>
      <c r="AA84" s="27">
        <f>O84/1000000</f>
        <v>178.17529215000002</v>
      </c>
      <c r="AB84" s="27">
        <f t="shared" si="66"/>
        <v>65.375618426207012</v>
      </c>
      <c r="AC84" s="27">
        <f>W84/Q84%</f>
        <v>65.909604067703086</v>
      </c>
      <c r="AD84" s="27">
        <f>X84/R84%</f>
        <v>76.862895561289449</v>
      </c>
      <c r="AE84" s="27">
        <f>Y84/S84%</f>
        <v>78.06107113186934</v>
      </c>
      <c r="AF84" s="27">
        <f t="shared" si="68"/>
        <v>70.179984683454805</v>
      </c>
      <c r="AG84" s="29">
        <f t="shared" si="68"/>
        <v>87.215315744024011</v>
      </c>
      <c r="AH84" s="26"/>
    </row>
    <row r="85" spans="1:35" s="217" customFormat="1" hidden="1" x14ac:dyDescent="0.25">
      <c r="A85" s="248" t="s">
        <v>74</v>
      </c>
      <c r="B85" s="252">
        <v>343214065.29000002</v>
      </c>
      <c r="C85" s="252">
        <v>2480564789.3899999</v>
      </c>
      <c r="D85" s="252">
        <v>2720425706.0100002</v>
      </c>
      <c r="E85" s="308">
        <f>F85+G85+H85</f>
        <v>103353148.67</v>
      </c>
      <c r="F85" s="252">
        <v>0</v>
      </c>
      <c r="G85" s="252">
        <v>102975892.64</v>
      </c>
      <c r="H85" s="252">
        <v>377256.03</v>
      </c>
      <c r="I85" s="252">
        <v>0</v>
      </c>
      <c r="J85" s="252">
        <v>2071607716.6700001</v>
      </c>
      <c r="K85" s="252">
        <v>1974447862.03</v>
      </c>
      <c r="L85" s="308">
        <f>M85+N85+O85</f>
        <v>97159854.640000001</v>
      </c>
      <c r="M85" s="252">
        <v>0</v>
      </c>
      <c r="N85" s="252">
        <v>96786583.719999999</v>
      </c>
      <c r="O85" s="252">
        <v>373270.92</v>
      </c>
      <c r="P85" s="215"/>
      <c r="Q85" s="215">
        <f t="shared" si="54"/>
        <v>2720.4257060100003</v>
      </c>
      <c r="R85" s="215"/>
      <c r="S85" s="215"/>
      <c r="T85" s="215">
        <f t="shared" ref="T85:U91" si="69">G85/1000000</f>
        <v>102.97589264</v>
      </c>
      <c r="U85" s="215">
        <f t="shared" si="69"/>
        <v>0.37725603000000002</v>
      </c>
      <c r="V85" s="215"/>
      <c r="W85" s="215">
        <f t="shared" ref="W85:W91" si="70">K85/1000000</f>
        <v>1974.4478620299999</v>
      </c>
      <c r="X85" s="215"/>
      <c r="Y85" s="215"/>
      <c r="Z85" s="215">
        <f t="shared" ref="Z85:AA91" si="71">N85/1000000</f>
        <v>96.786583719999996</v>
      </c>
      <c r="AA85" s="215">
        <f t="shared" si="71"/>
        <v>0.37327092000000001</v>
      </c>
      <c r="AB85" s="215"/>
      <c r="AC85" s="215">
        <f t="shared" ref="AC85:AC90" si="72">W85/Q85%</f>
        <v>72.578635677056852</v>
      </c>
      <c r="AD85" s="215"/>
      <c r="AE85" s="215"/>
      <c r="AF85" s="215">
        <f t="shared" si="68"/>
        <v>93.989555456792587</v>
      </c>
      <c r="AG85" s="216">
        <f t="shared" si="68"/>
        <v>98.943659031772142</v>
      </c>
      <c r="AH85" s="249"/>
    </row>
    <row r="86" spans="1:35" x14ac:dyDescent="0.25">
      <c r="A86" s="85" t="s">
        <v>84</v>
      </c>
      <c r="B86" s="89">
        <v>6787471168.5900002</v>
      </c>
      <c r="C86" s="89">
        <v>696787788.92999995</v>
      </c>
      <c r="D86" s="89">
        <v>6296604937.1899996</v>
      </c>
      <c r="E86" s="151">
        <f>F86+G86+H86-E87</f>
        <v>838100577.29999995</v>
      </c>
      <c r="F86" s="89">
        <v>237411070.91999999</v>
      </c>
      <c r="G86" s="89">
        <v>528988880.25</v>
      </c>
      <c r="H86" s="89">
        <v>421254069.15999997</v>
      </c>
      <c r="I86" s="89">
        <v>6460123390.9300003</v>
      </c>
      <c r="J86" s="89">
        <v>687553888.00999999</v>
      </c>
      <c r="K86" s="89">
        <v>6033130140.2700005</v>
      </c>
      <c r="L86" s="151">
        <f>M86+N86+O86-L87</f>
        <v>776165501.48000002</v>
      </c>
      <c r="M86" s="89">
        <v>234782331.75999999</v>
      </c>
      <c r="N86" s="89">
        <v>480962580.63</v>
      </c>
      <c r="O86" s="89">
        <v>398802226.28000003</v>
      </c>
      <c r="P86" s="27">
        <f>B86/1000000</f>
        <v>6787.4711685900002</v>
      </c>
      <c r="Q86" s="27">
        <f t="shared" si="54"/>
        <v>6296.6049371899999</v>
      </c>
      <c r="R86" s="27">
        <f>E86/1000000</f>
        <v>838.10057729999994</v>
      </c>
      <c r="S86" s="27">
        <f>F86/1000000</f>
        <v>237.41107091999999</v>
      </c>
      <c r="T86" s="27">
        <f t="shared" si="69"/>
        <v>528.98888024999997</v>
      </c>
      <c r="U86" s="27">
        <f t="shared" si="69"/>
        <v>421.25406915999997</v>
      </c>
      <c r="V86" s="27">
        <f>I86/1000000</f>
        <v>6460.1233909299999</v>
      </c>
      <c r="W86" s="27">
        <f t="shared" si="70"/>
        <v>6033.1301402700001</v>
      </c>
      <c r="X86" s="27">
        <f>L86/1000000</f>
        <v>776.16550147999999</v>
      </c>
      <c r="Y86" s="27">
        <f>M86/1000000</f>
        <v>234.78233175999998</v>
      </c>
      <c r="Z86" s="27">
        <f t="shared" si="71"/>
        <v>480.96258062999999</v>
      </c>
      <c r="AA86" s="27">
        <f t="shared" si="71"/>
        <v>398.80222628000001</v>
      </c>
      <c r="AB86" s="27">
        <f>V86/P86%</f>
        <v>95.177176159880446</v>
      </c>
      <c r="AC86" s="27">
        <f t="shared" si="72"/>
        <v>95.81560540087527</v>
      </c>
      <c r="AD86" s="27">
        <f>X86/R86%</f>
        <v>92.610066441007802</v>
      </c>
      <c r="AE86" s="27">
        <f>Y86/S86%</f>
        <v>98.892747861414676</v>
      </c>
      <c r="AF86" s="27">
        <f t="shared" si="68"/>
        <v>90.921113578549566</v>
      </c>
      <c r="AG86" s="29">
        <f t="shared" si="68"/>
        <v>94.670237150522965</v>
      </c>
      <c r="AH86" s="26"/>
    </row>
    <row r="87" spans="1:35" s="217" customFormat="1" hidden="1" x14ac:dyDescent="0.25">
      <c r="A87" s="248" t="s">
        <v>74</v>
      </c>
      <c r="B87" s="252">
        <v>2316781.9900000002</v>
      </c>
      <c r="C87" s="252">
        <v>696787788.92999995</v>
      </c>
      <c r="D87" s="252">
        <v>349551127.88999999</v>
      </c>
      <c r="E87" s="308">
        <f>F87+G87+H87</f>
        <v>349553443.03000003</v>
      </c>
      <c r="F87" s="252">
        <v>0</v>
      </c>
      <c r="G87" s="252">
        <v>346588909.36000001</v>
      </c>
      <c r="H87" s="252">
        <v>2964533.67</v>
      </c>
      <c r="I87" s="252">
        <v>0</v>
      </c>
      <c r="J87" s="252">
        <v>687553888.00999999</v>
      </c>
      <c r="K87" s="252">
        <v>349172250.81999999</v>
      </c>
      <c r="L87" s="308">
        <f>M87+N87+O87</f>
        <v>338381637.19</v>
      </c>
      <c r="M87" s="252">
        <v>0</v>
      </c>
      <c r="N87" s="252">
        <v>335903778.63</v>
      </c>
      <c r="O87" s="252">
        <v>2477858.56</v>
      </c>
      <c r="P87" s="215"/>
      <c r="Q87" s="215">
        <f t="shared" si="54"/>
        <v>349.55112788999998</v>
      </c>
      <c r="R87" s="215"/>
      <c r="S87" s="215"/>
      <c r="T87" s="215">
        <f t="shared" si="69"/>
        <v>346.58890936</v>
      </c>
      <c r="U87" s="215">
        <f t="shared" si="69"/>
        <v>2.9645336699999998</v>
      </c>
      <c r="V87" s="215"/>
      <c r="W87" s="215">
        <f t="shared" si="70"/>
        <v>349.17225081999999</v>
      </c>
      <c r="X87" s="215"/>
      <c r="Y87" s="215"/>
      <c r="Z87" s="215">
        <f t="shared" si="71"/>
        <v>335.90377862999998</v>
      </c>
      <c r="AA87" s="215">
        <f t="shared" si="71"/>
        <v>2.47785856</v>
      </c>
      <c r="AB87" s="215"/>
      <c r="AC87" s="215">
        <f t="shared" si="72"/>
        <v>99.891610399804179</v>
      </c>
      <c r="AD87" s="215"/>
      <c r="AE87" s="215"/>
      <c r="AF87" s="215">
        <f t="shared" si="68"/>
        <v>96.917059247587915</v>
      </c>
      <c r="AG87" s="216">
        <f t="shared" si="68"/>
        <v>83.583417691457697</v>
      </c>
      <c r="AH87" s="249"/>
    </row>
    <row r="88" spans="1:35" x14ac:dyDescent="0.25">
      <c r="A88" s="85" t="s">
        <v>85</v>
      </c>
      <c r="B88" s="89">
        <v>2054011955.98</v>
      </c>
      <c r="C88" s="89">
        <v>614130933.95000005</v>
      </c>
      <c r="D88" s="89">
        <v>733207573.64999998</v>
      </c>
      <c r="E88" s="151">
        <f>F88+G88+H88-E89</f>
        <v>1672313566.0599999</v>
      </c>
      <c r="F88" s="89">
        <v>1070694880.79</v>
      </c>
      <c r="G88" s="89">
        <v>298762330.19</v>
      </c>
      <c r="H88" s="89">
        <v>565478105.29999995</v>
      </c>
      <c r="I88" s="89">
        <v>1569644286.0999999</v>
      </c>
      <c r="J88" s="89">
        <v>985451841.35000002</v>
      </c>
      <c r="K88" s="89">
        <v>723672365.50999999</v>
      </c>
      <c r="L88" s="151">
        <f>M88+N88+O88-L89</f>
        <v>1569644286.1000001</v>
      </c>
      <c r="M88" s="89">
        <v>1026365014.62</v>
      </c>
      <c r="N88" s="89">
        <v>288340793.10000002</v>
      </c>
      <c r="O88" s="89">
        <v>516717954.22000003</v>
      </c>
      <c r="P88" s="27">
        <f>B88/1000000</f>
        <v>2054.01195598</v>
      </c>
      <c r="Q88" s="27">
        <f t="shared" si="54"/>
        <v>733.20757364999997</v>
      </c>
      <c r="R88" s="27">
        <f>E88/1000000</f>
        <v>1672.3135660599999</v>
      </c>
      <c r="S88" s="27">
        <f>F88/1000000</f>
        <v>1070.6948807900001</v>
      </c>
      <c r="T88" s="27">
        <f t="shared" si="69"/>
        <v>298.76233019</v>
      </c>
      <c r="U88" s="27">
        <f t="shared" si="69"/>
        <v>565.47810529999992</v>
      </c>
      <c r="V88" s="27">
        <f>I88/1000000</f>
        <v>1569.6442860999998</v>
      </c>
      <c r="W88" s="27">
        <f t="shared" si="70"/>
        <v>723.67236550999996</v>
      </c>
      <c r="X88" s="27">
        <f>L88/1000000</f>
        <v>1569.6442861</v>
      </c>
      <c r="Y88" s="27">
        <f>M88/1000000</f>
        <v>1026.36501462</v>
      </c>
      <c r="Z88" s="27">
        <f t="shared" si="71"/>
        <v>288.34079310000004</v>
      </c>
      <c r="AA88" s="27">
        <f t="shared" si="71"/>
        <v>516.71795422000002</v>
      </c>
      <c r="AB88" s="27">
        <f>V88/P88%</f>
        <v>76.418459081028033</v>
      </c>
      <c r="AC88" s="27">
        <f t="shared" si="72"/>
        <v>98.699521324836766</v>
      </c>
      <c r="AD88" s="27">
        <f>X88/R88%</f>
        <v>93.860644197135215</v>
      </c>
      <c r="AE88" s="27">
        <f>Y88/S88%</f>
        <v>95.859710645362227</v>
      </c>
      <c r="AF88" s="27">
        <f t="shared" si="68"/>
        <v>96.511763352705046</v>
      </c>
      <c r="AG88" s="29">
        <f t="shared" si="68"/>
        <v>91.377181428778499</v>
      </c>
      <c r="AH88" s="26"/>
    </row>
    <row r="89" spans="1:35" s="217" customFormat="1" hidden="1" x14ac:dyDescent="0.25">
      <c r="A89" s="248" t="s">
        <v>74</v>
      </c>
      <c r="B89" s="252">
        <v>381698389.92000002</v>
      </c>
      <c r="C89" s="252">
        <v>614130933.95000005</v>
      </c>
      <c r="D89" s="252">
        <v>733207573.64999998</v>
      </c>
      <c r="E89" s="309">
        <f>F89+G89+H89</f>
        <v>262621750.22000003</v>
      </c>
      <c r="F89" s="252">
        <v>0</v>
      </c>
      <c r="G89" s="252">
        <v>258986036.86000001</v>
      </c>
      <c r="H89" s="252">
        <v>3635713.36</v>
      </c>
      <c r="I89" s="252">
        <v>0</v>
      </c>
      <c r="J89" s="252">
        <v>985451841.35000002</v>
      </c>
      <c r="K89" s="252">
        <v>723672365.50999999</v>
      </c>
      <c r="L89" s="309">
        <f>M89+N89+O89</f>
        <v>261779475.84</v>
      </c>
      <c r="M89" s="252">
        <v>0</v>
      </c>
      <c r="N89" s="252">
        <v>258171373.66</v>
      </c>
      <c r="O89" s="252">
        <v>3608102.1799999997</v>
      </c>
      <c r="P89" s="215"/>
      <c r="Q89" s="215">
        <f t="shared" si="54"/>
        <v>733.20757364999997</v>
      </c>
      <c r="R89" s="215"/>
      <c r="S89" s="215"/>
      <c r="T89" s="215">
        <f t="shared" si="69"/>
        <v>258.98603686000001</v>
      </c>
      <c r="U89" s="215">
        <f t="shared" si="69"/>
        <v>3.63571336</v>
      </c>
      <c r="V89" s="215"/>
      <c r="W89" s="215">
        <f t="shared" si="70"/>
        <v>723.67236550999996</v>
      </c>
      <c r="X89" s="215"/>
      <c r="Y89" s="215"/>
      <c r="Z89" s="215">
        <f t="shared" si="71"/>
        <v>258.17137365999997</v>
      </c>
      <c r="AA89" s="215">
        <f t="shared" si="71"/>
        <v>3.6081021799999995</v>
      </c>
      <c r="AB89" s="215"/>
      <c r="AC89" s="215">
        <f t="shared" si="72"/>
        <v>98.699521324836766</v>
      </c>
      <c r="AD89" s="215"/>
      <c r="AE89" s="215"/>
      <c r="AF89" s="215">
        <f t="shared" si="68"/>
        <v>99.685441265530301</v>
      </c>
      <c r="AG89" s="216">
        <f t="shared" si="68"/>
        <v>99.240556741799892</v>
      </c>
      <c r="AH89" s="249"/>
    </row>
    <row r="90" spans="1:35" ht="26.4" x14ac:dyDescent="0.25">
      <c r="A90" s="85" t="s">
        <v>86</v>
      </c>
      <c r="B90" s="89">
        <v>621028146.96000004</v>
      </c>
      <c r="C90" s="89">
        <v>326007229.08999997</v>
      </c>
      <c r="D90" s="89">
        <v>351311104.62</v>
      </c>
      <c r="E90" s="151">
        <f>F90+G90+H90-E91</f>
        <v>474011348.69000006</v>
      </c>
      <c r="F90" s="89">
        <v>246411146.77000001</v>
      </c>
      <c r="G90" s="89">
        <v>213566531.19999999</v>
      </c>
      <c r="H90" s="89">
        <v>135746593.46000001</v>
      </c>
      <c r="I90" s="89">
        <v>513272491.69999999</v>
      </c>
      <c r="J90" s="89">
        <v>403409838.92000002</v>
      </c>
      <c r="K90" s="89">
        <v>344597249.05000001</v>
      </c>
      <c r="L90" s="151">
        <f>M90+N90+O90-L91</f>
        <v>456774023.82999992</v>
      </c>
      <c r="M90" s="89">
        <v>244587704.28</v>
      </c>
      <c r="N90" s="89">
        <v>203183922.22999999</v>
      </c>
      <c r="O90" s="89">
        <v>124313455.06</v>
      </c>
      <c r="P90" s="27">
        <f>B90/1000000</f>
        <v>621.02814696000007</v>
      </c>
      <c r="Q90" s="27">
        <f t="shared" si="54"/>
        <v>351.31110461999998</v>
      </c>
      <c r="R90" s="27">
        <f>E90/1000000</f>
        <v>474.01134869000003</v>
      </c>
      <c r="S90" s="27">
        <f>F90/1000000</f>
        <v>246.41114677000002</v>
      </c>
      <c r="T90" s="27">
        <f t="shared" si="69"/>
        <v>213.56653119999999</v>
      </c>
      <c r="U90" s="27">
        <f t="shared" si="69"/>
        <v>135.74659346000001</v>
      </c>
      <c r="V90" s="27">
        <f>I90/1000000</f>
        <v>513.27249169999993</v>
      </c>
      <c r="W90" s="27">
        <f t="shared" si="70"/>
        <v>344.59724905000002</v>
      </c>
      <c r="X90" s="27">
        <f>L90/1000000</f>
        <v>456.77402382999992</v>
      </c>
      <c r="Y90" s="27">
        <f>M90/1000000</f>
        <v>244.58770428</v>
      </c>
      <c r="Z90" s="27">
        <f t="shared" si="71"/>
        <v>203.18392222999998</v>
      </c>
      <c r="AA90" s="27">
        <f t="shared" si="71"/>
        <v>124.31345506</v>
      </c>
      <c r="AB90" s="27">
        <f>V90/P90%</f>
        <v>82.648829076834005</v>
      </c>
      <c r="AC90" s="27">
        <f t="shared" si="72"/>
        <v>98.088914502926954</v>
      </c>
      <c r="AD90" s="27">
        <f>X90/R90%</f>
        <v>96.36352063982477</v>
      </c>
      <c r="AE90" s="27">
        <f>Y90/S90%</f>
        <v>99.259999998416461</v>
      </c>
      <c r="AF90" s="27">
        <f t="shared" si="68"/>
        <v>95.138466260765853</v>
      </c>
      <c r="AG90" s="29">
        <f t="shared" si="68"/>
        <v>91.57758724651238</v>
      </c>
      <c r="AH90" s="26"/>
    </row>
    <row r="91" spans="1:35" s="217" customFormat="1" hidden="1" x14ac:dyDescent="0.25">
      <c r="A91" s="248" t="s">
        <v>74</v>
      </c>
      <c r="B91" s="252">
        <v>88308163.25</v>
      </c>
      <c r="C91" s="252">
        <v>326007229.08999997</v>
      </c>
      <c r="D91" s="252">
        <v>292602469.60000002</v>
      </c>
      <c r="E91" s="309">
        <f>F91+G91+H91</f>
        <v>121712922.74000001</v>
      </c>
      <c r="F91" s="252">
        <v>0</v>
      </c>
      <c r="G91" s="252">
        <v>121399810.59</v>
      </c>
      <c r="H91" s="252">
        <v>313112.15000000002</v>
      </c>
      <c r="I91" s="252">
        <v>0</v>
      </c>
      <c r="J91" s="252">
        <v>403409838.92000002</v>
      </c>
      <c r="K91" s="252">
        <v>288098781.18000001</v>
      </c>
      <c r="L91" s="309">
        <f>M91+N91+O91</f>
        <v>115311057.74000001</v>
      </c>
      <c r="M91" s="252">
        <v>0</v>
      </c>
      <c r="N91" s="252">
        <v>114997945.59</v>
      </c>
      <c r="O91" s="252">
        <v>313112.15000000002</v>
      </c>
      <c r="P91" s="215"/>
      <c r="Q91" s="215">
        <f t="shared" si="54"/>
        <v>292.60246960000001</v>
      </c>
      <c r="R91" s="215"/>
      <c r="S91" s="215"/>
      <c r="T91" s="215">
        <f t="shared" si="69"/>
        <v>121.39981059</v>
      </c>
      <c r="U91" s="215">
        <f t="shared" si="69"/>
        <v>0.31311215000000003</v>
      </c>
      <c r="V91" s="215"/>
      <c r="W91" s="215">
        <f t="shared" si="70"/>
        <v>288.09878118</v>
      </c>
      <c r="X91" s="215"/>
      <c r="Y91" s="215"/>
      <c r="Z91" s="215">
        <f t="shared" si="71"/>
        <v>114.99794559</v>
      </c>
      <c r="AA91" s="215">
        <f t="shared" si="71"/>
        <v>0.31311215000000003</v>
      </c>
      <c r="AB91" s="215"/>
      <c r="AC91" s="215"/>
      <c r="AD91" s="215"/>
      <c r="AE91" s="215"/>
      <c r="AF91" s="49"/>
      <c r="AG91" s="218">
        <f t="shared" si="68"/>
        <v>100</v>
      </c>
      <c r="AH91" s="78"/>
    </row>
    <row r="92" spans="1:35" s="35" customFormat="1" x14ac:dyDescent="0.25">
      <c r="A92" s="84" t="s">
        <v>87</v>
      </c>
      <c r="B92" s="336">
        <v>571261614.20000005</v>
      </c>
      <c r="C92" s="336">
        <v>179678112.40000001</v>
      </c>
      <c r="D92" s="336">
        <v>504743451.74000001</v>
      </c>
      <c r="E92" s="151">
        <f>F92+G92+H92-E93</f>
        <v>186840511.32000002</v>
      </c>
      <c r="F92" s="336">
        <v>11815454.560000001</v>
      </c>
      <c r="G92" s="336">
        <v>186326631.09999999</v>
      </c>
      <c r="H92" s="336">
        <v>48054189.200000003</v>
      </c>
      <c r="I92" s="336">
        <v>447175954.42000002</v>
      </c>
      <c r="J92" s="336">
        <v>170440991.72</v>
      </c>
      <c r="K92" s="336">
        <v>409738804.44</v>
      </c>
      <c r="L92" s="151">
        <f>M92+N92+O92-L93</f>
        <v>155982832.81</v>
      </c>
      <c r="M92" s="336">
        <v>10100884.5</v>
      </c>
      <c r="N92" s="336">
        <v>155287168.43000001</v>
      </c>
      <c r="O92" s="336">
        <v>42490088.769999996</v>
      </c>
      <c r="P92" s="31">
        <f t="shared" si="45"/>
        <v>571.26161420000005</v>
      </c>
      <c r="Q92" s="31">
        <f t="shared" si="54"/>
        <v>504.74345174000001</v>
      </c>
      <c r="R92" s="31">
        <f>E92/1000000</f>
        <v>186.84051132000002</v>
      </c>
      <c r="S92" s="31">
        <f>F92/1000000</f>
        <v>11.815454560000001</v>
      </c>
      <c r="T92" s="31">
        <f t="shared" si="53"/>
        <v>186.32663109999999</v>
      </c>
      <c r="U92" s="31">
        <f t="shared" si="53"/>
        <v>48.054189200000003</v>
      </c>
      <c r="V92" s="31">
        <f t="shared" si="53"/>
        <v>447.17595442000004</v>
      </c>
      <c r="W92" s="31">
        <f t="shared" si="43"/>
        <v>409.73880444000002</v>
      </c>
      <c r="X92" s="31">
        <f>L92/1000000</f>
        <v>155.98283280999999</v>
      </c>
      <c r="Y92" s="31">
        <f>M92/1000000</f>
        <v>10.100884499999999</v>
      </c>
      <c r="Z92" s="31">
        <f t="shared" si="43"/>
        <v>155.28716843000001</v>
      </c>
      <c r="AA92" s="31">
        <f t="shared" si="43"/>
        <v>42.490088769999993</v>
      </c>
      <c r="AB92" s="31">
        <f>V92/P92%</f>
        <v>78.278663103634102</v>
      </c>
      <c r="AC92" s="31">
        <f t="shared" si="55"/>
        <v>81.177636485923514</v>
      </c>
      <c r="AD92" s="31">
        <f>X92/R92%</f>
        <v>83.484481876015437</v>
      </c>
      <c r="AE92" s="31">
        <f>Y92/S92%</f>
        <v>85.488750760343137</v>
      </c>
      <c r="AF92" s="31">
        <f>Z92/T92%</f>
        <v>83.34137074944411</v>
      </c>
      <c r="AG92" s="91" t="s">
        <v>31</v>
      </c>
      <c r="AH92" s="33"/>
    </row>
    <row r="93" spans="1:35" s="217" customFormat="1" hidden="1" x14ac:dyDescent="0.25">
      <c r="A93" s="248" t="s">
        <v>68</v>
      </c>
      <c r="B93" s="252">
        <v>9645401.4600000009</v>
      </c>
      <c r="C93" s="252">
        <v>179678112.40000001</v>
      </c>
      <c r="D93" s="252">
        <v>129967750.31999999</v>
      </c>
      <c r="E93" s="308">
        <f>F93+G93+H93</f>
        <v>59355763.539999999</v>
      </c>
      <c r="F93" s="252">
        <v>0</v>
      </c>
      <c r="G93" s="252">
        <v>57202237.990000002</v>
      </c>
      <c r="H93" s="252">
        <v>2153525.5499999998</v>
      </c>
      <c r="I93" s="252">
        <v>0</v>
      </c>
      <c r="J93" s="252">
        <v>170440991.72</v>
      </c>
      <c r="K93" s="252">
        <v>118545682.83</v>
      </c>
      <c r="L93" s="308">
        <f>M93+N93+O93</f>
        <v>51895308.890000001</v>
      </c>
      <c r="M93" s="252">
        <v>0</v>
      </c>
      <c r="N93" s="252">
        <v>49826409.109999999</v>
      </c>
      <c r="O93" s="252">
        <v>2068899.78</v>
      </c>
      <c r="P93" s="215"/>
      <c r="Q93" s="215">
        <f t="shared" si="54"/>
        <v>129.96775031999999</v>
      </c>
      <c r="R93" s="215"/>
      <c r="S93" s="215"/>
      <c r="T93" s="215">
        <f t="shared" si="53"/>
        <v>57.20223799</v>
      </c>
      <c r="U93" s="215"/>
      <c r="V93" s="215"/>
      <c r="W93" s="215">
        <f t="shared" si="43"/>
        <v>118.54568283</v>
      </c>
      <c r="X93" s="215"/>
      <c r="Y93" s="215"/>
      <c r="Z93" s="215">
        <f t="shared" si="43"/>
        <v>49.82640911</v>
      </c>
      <c r="AA93" s="215"/>
      <c r="AB93" s="215"/>
      <c r="AC93" s="215"/>
      <c r="AD93" s="251"/>
      <c r="AE93" s="251"/>
      <c r="AF93" s="215">
        <f t="shared" ref="AF93:AG111" si="73">Z93/T93%</f>
        <v>87.105698764287098</v>
      </c>
      <c r="AG93" s="255"/>
      <c r="AH93" s="256"/>
    </row>
    <row r="94" spans="1:35" s="35" customFormat="1" x14ac:dyDescent="0.25">
      <c r="A94" s="84" t="s">
        <v>346</v>
      </c>
      <c r="B94" s="336">
        <v>38589395000.849998</v>
      </c>
      <c r="C94" s="336">
        <v>18607879537.360001</v>
      </c>
      <c r="D94" s="336">
        <v>27243035480.080002</v>
      </c>
      <c r="E94" s="151">
        <f>F94+G94+H94-E95</f>
        <v>29950314510.559998</v>
      </c>
      <c r="F94" s="336">
        <v>16167611255.34</v>
      </c>
      <c r="G94" s="336">
        <v>13781897149.65</v>
      </c>
      <c r="H94" s="336">
        <v>4730653.1400000006</v>
      </c>
      <c r="I94" s="336">
        <v>35707463299.269997</v>
      </c>
      <c r="J94" s="336">
        <v>19559219443.75</v>
      </c>
      <c r="K94" s="336">
        <v>26327339396.919998</v>
      </c>
      <c r="L94" s="151">
        <f>M94+N94+O94-L95</f>
        <v>28935418798.529999</v>
      </c>
      <c r="M94" s="336">
        <v>15869362714.49</v>
      </c>
      <c r="N94" s="336">
        <v>13065410302.559999</v>
      </c>
      <c r="O94" s="336">
        <v>4570329.0500000007</v>
      </c>
      <c r="P94" s="31">
        <f t="shared" si="45"/>
        <v>38589.395000849996</v>
      </c>
      <c r="Q94" s="31">
        <f t="shared" si="54"/>
        <v>27243.035480080001</v>
      </c>
      <c r="R94" s="31">
        <f>E94/1000000</f>
        <v>29950.314510559998</v>
      </c>
      <c r="S94" s="31">
        <f>F94/1000000</f>
        <v>16167.61125534</v>
      </c>
      <c r="T94" s="31">
        <f t="shared" si="53"/>
        <v>13781.89714965</v>
      </c>
      <c r="U94" s="31">
        <f t="shared" si="53"/>
        <v>4.7306531400000003</v>
      </c>
      <c r="V94" s="31">
        <f t="shared" si="53"/>
        <v>35707.463299269999</v>
      </c>
      <c r="W94" s="31">
        <f t="shared" si="43"/>
        <v>26327.339396919997</v>
      </c>
      <c r="X94" s="31">
        <f>L94/1000000</f>
        <v>28935.418798529998</v>
      </c>
      <c r="Y94" s="31">
        <f>M94/1000000</f>
        <v>15869.36271449</v>
      </c>
      <c r="Z94" s="31">
        <f t="shared" si="43"/>
        <v>13065.41030256</v>
      </c>
      <c r="AA94" s="31">
        <f t="shared" si="43"/>
        <v>4.5703290500000007</v>
      </c>
      <c r="AB94" s="31">
        <f t="shared" ref="AB94:AB131" si="74">V94/P94%</f>
        <v>92.531803876384899</v>
      </c>
      <c r="AC94" s="31">
        <f t="shared" si="55"/>
        <v>96.638788347100473</v>
      </c>
      <c r="AD94" s="31">
        <f>X94/R94%</f>
        <v>96.61140215515212</v>
      </c>
      <c r="AE94" s="31">
        <f>Y94/S94%</f>
        <v>98.155271448950188</v>
      </c>
      <c r="AF94" s="31">
        <f t="shared" si="73"/>
        <v>94.801246596821414</v>
      </c>
      <c r="AG94" s="32">
        <f>AA94/U94%</f>
        <v>96.610952330358344</v>
      </c>
      <c r="AH94" s="33"/>
      <c r="AI94" s="53"/>
    </row>
    <row r="95" spans="1:35" s="217" customFormat="1" hidden="1" x14ac:dyDescent="0.25">
      <c r="A95" s="248" t="s">
        <v>68</v>
      </c>
      <c r="B95" s="252">
        <v>1695459232.8499999</v>
      </c>
      <c r="C95" s="252">
        <v>18607879537.360001</v>
      </c>
      <c r="D95" s="252">
        <v>20299414222.640003</v>
      </c>
      <c r="E95" s="308">
        <f>F95+G95+H95</f>
        <v>3924547.57</v>
      </c>
      <c r="F95" s="252">
        <v>0</v>
      </c>
      <c r="G95" s="252">
        <v>2793147.57</v>
      </c>
      <c r="H95" s="252">
        <v>1131400</v>
      </c>
      <c r="I95" s="252">
        <v>0</v>
      </c>
      <c r="J95" s="252">
        <v>19559219443.75</v>
      </c>
      <c r="K95" s="252">
        <v>19555294896.18</v>
      </c>
      <c r="L95" s="308">
        <f>M95+N95+O95</f>
        <v>3924547.57</v>
      </c>
      <c r="M95" s="252">
        <v>0</v>
      </c>
      <c r="N95" s="252">
        <v>2793147.57</v>
      </c>
      <c r="O95" s="252">
        <v>1131400</v>
      </c>
      <c r="P95" s="215">
        <f t="shared" si="45"/>
        <v>1695.4592328499998</v>
      </c>
      <c r="Q95" s="215">
        <f t="shared" si="54"/>
        <v>20299.414222640004</v>
      </c>
      <c r="R95" s="251"/>
      <c r="S95" s="215"/>
      <c r="T95" s="215">
        <f t="shared" si="53"/>
        <v>2.7931475699999999</v>
      </c>
      <c r="U95" s="215">
        <f t="shared" si="53"/>
        <v>1.1314</v>
      </c>
      <c r="V95" s="215">
        <f t="shared" si="53"/>
        <v>0</v>
      </c>
      <c r="W95" s="215">
        <f t="shared" si="43"/>
        <v>19555.294896179999</v>
      </c>
      <c r="X95" s="215"/>
      <c r="Y95" s="215"/>
      <c r="Z95" s="215">
        <f t="shared" si="43"/>
        <v>2.7931475699999999</v>
      </c>
      <c r="AA95" s="215">
        <f t="shared" si="43"/>
        <v>1.1314</v>
      </c>
      <c r="AB95" s="215">
        <f t="shared" si="74"/>
        <v>0</v>
      </c>
      <c r="AC95" s="215">
        <f t="shared" si="55"/>
        <v>96.334281776318022</v>
      </c>
      <c r="AD95" s="215"/>
      <c r="AE95" s="215"/>
      <c r="AF95" s="215">
        <f t="shared" si="73"/>
        <v>100</v>
      </c>
      <c r="AG95" s="255"/>
      <c r="AH95" s="256"/>
    </row>
    <row r="96" spans="1:35" x14ac:dyDescent="0.25">
      <c r="A96" s="85" t="s">
        <v>337</v>
      </c>
      <c r="B96" s="351">
        <v>12898023477.389999</v>
      </c>
      <c r="C96" s="351">
        <v>1456068359.21</v>
      </c>
      <c r="D96" s="351">
        <v>2487029246.5100002</v>
      </c>
      <c r="E96" s="151">
        <f>F96+G96+H96-E97</f>
        <v>11867062590.09</v>
      </c>
      <c r="F96" s="351">
        <v>7468491190.1199999</v>
      </c>
      <c r="G96" s="351">
        <v>4398521399.9700003</v>
      </c>
      <c r="H96" s="351">
        <v>50000</v>
      </c>
      <c r="I96" s="351">
        <v>11452629164</v>
      </c>
      <c r="J96" s="351">
        <v>2005926889.21</v>
      </c>
      <c r="K96" s="351">
        <v>2032226651.26</v>
      </c>
      <c r="L96" s="151">
        <f>M96+N96+O96-L97</f>
        <v>11426329401.950001</v>
      </c>
      <c r="M96" s="351">
        <v>7363061233.1899996</v>
      </c>
      <c r="N96" s="351">
        <v>4063218168.7600002</v>
      </c>
      <c r="O96" s="351">
        <v>50000</v>
      </c>
      <c r="P96" s="27">
        <f t="shared" ref="P96:P101" si="75">B96/1000000</f>
        <v>12898.023477389999</v>
      </c>
      <c r="Q96" s="27">
        <f t="shared" ref="Q96:Q101" si="76">D96/1000000</f>
        <v>2487.0292465100001</v>
      </c>
      <c r="R96" s="27">
        <f>E96/1000000</f>
        <v>11867.06259009</v>
      </c>
      <c r="S96" s="27">
        <f>F96/1000000</f>
        <v>7468.4911901200003</v>
      </c>
      <c r="T96" s="27">
        <f t="shared" ref="T96:T101" si="77">G96/1000000</f>
        <v>4398.5213999699999</v>
      </c>
      <c r="U96" s="27">
        <f t="shared" ref="U96:U101" si="78">H96/1000000</f>
        <v>0.05</v>
      </c>
      <c r="V96" s="27">
        <f t="shared" ref="V96:V101" si="79">I96/1000000</f>
        <v>11452.629164</v>
      </c>
      <c r="W96" s="27">
        <f t="shared" ref="W96:W101" si="80">K96/1000000</f>
        <v>2032.2266512599999</v>
      </c>
      <c r="X96" s="27">
        <f>L96/1000000</f>
        <v>11426.329401950001</v>
      </c>
      <c r="Y96" s="27">
        <f>M96/1000000</f>
        <v>7363.0612331899993</v>
      </c>
      <c r="Z96" s="27">
        <f t="shared" ref="Z96:Z101" si="81">N96/1000000</f>
        <v>4063.21816876</v>
      </c>
      <c r="AA96" s="27">
        <f t="shared" ref="AA96:AA101" si="82">O96/1000000</f>
        <v>0.05</v>
      </c>
      <c r="AB96" s="27">
        <f t="shared" ref="AB96:AB101" si="83">V96/P96%</f>
        <v>88.793675899848154</v>
      </c>
      <c r="AC96" s="27">
        <f t="shared" ref="AC96:AC101" si="84">W96/Q96%</f>
        <v>81.713017814799898</v>
      </c>
      <c r="AD96" s="27">
        <f>X96/R96%</f>
        <v>96.286080192177906</v>
      </c>
      <c r="AE96" s="27">
        <f>Y96/S96%</f>
        <v>98.58833659642697</v>
      </c>
      <c r="AF96" s="27">
        <f t="shared" si="73"/>
        <v>92.37691031326375</v>
      </c>
      <c r="AG96" s="40" t="s">
        <v>31</v>
      </c>
      <c r="AH96" s="33"/>
    </row>
    <row r="97" spans="1:35" s="217" customFormat="1" hidden="1" x14ac:dyDescent="0.25">
      <c r="A97" s="327" t="s">
        <v>74</v>
      </c>
      <c r="B97" s="252">
        <v>905991897.29999995</v>
      </c>
      <c r="C97" s="252">
        <v>1456068359.21</v>
      </c>
      <c r="D97" s="252">
        <v>2362060256.5100002</v>
      </c>
      <c r="E97" s="308">
        <f>F97+G97+H97</f>
        <v>0</v>
      </c>
      <c r="F97" s="252">
        <v>0</v>
      </c>
      <c r="G97" s="252">
        <v>0</v>
      </c>
      <c r="H97" s="252">
        <v>0</v>
      </c>
      <c r="I97" s="252">
        <v>0</v>
      </c>
      <c r="J97" s="252">
        <v>2005926889.21</v>
      </c>
      <c r="K97" s="252">
        <v>2005926889.21</v>
      </c>
      <c r="L97" s="308">
        <f>M97+N97+O97</f>
        <v>0</v>
      </c>
      <c r="M97" s="252">
        <v>0</v>
      </c>
      <c r="N97" s="252">
        <v>0</v>
      </c>
      <c r="O97" s="252">
        <v>0</v>
      </c>
      <c r="P97" s="215">
        <f t="shared" si="75"/>
        <v>905.99189730000001</v>
      </c>
      <c r="Q97" s="215">
        <f t="shared" si="76"/>
        <v>2362.0602565100003</v>
      </c>
      <c r="R97" s="215"/>
      <c r="S97" s="215"/>
      <c r="T97" s="215">
        <f t="shared" si="77"/>
        <v>0</v>
      </c>
      <c r="U97" s="215">
        <f t="shared" si="78"/>
        <v>0</v>
      </c>
      <c r="V97" s="215">
        <f t="shared" si="79"/>
        <v>0</v>
      </c>
      <c r="W97" s="215">
        <f t="shared" si="80"/>
        <v>2005.9268892100001</v>
      </c>
      <c r="X97" s="215"/>
      <c r="Y97" s="215"/>
      <c r="Z97" s="215">
        <f t="shared" si="81"/>
        <v>0</v>
      </c>
      <c r="AA97" s="215">
        <f t="shared" si="82"/>
        <v>0</v>
      </c>
      <c r="AB97" s="215">
        <f t="shared" si="83"/>
        <v>0</v>
      </c>
      <c r="AC97" s="215">
        <f t="shared" si="84"/>
        <v>84.922765356282838</v>
      </c>
      <c r="AD97" s="27" t="e">
        <f t="shared" ref="AD97:AD105" si="85">X97/R97%</f>
        <v>#DIV/0!</v>
      </c>
      <c r="AE97" s="27" t="e">
        <f t="shared" ref="AE97:AE105" si="86">Y97/S97%</f>
        <v>#DIV/0!</v>
      </c>
      <c r="AF97" s="27" t="e">
        <f t="shared" ref="AF97:AF105" si="87">Z97/T97%</f>
        <v>#DIV/0!</v>
      </c>
      <c r="AG97" s="40" t="s">
        <v>31</v>
      </c>
      <c r="AH97" s="256"/>
    </row>
    <row r="98" spans="1:35" x14ac:dyDescent="0.25">
      <c r="A98" s="85" t="s">
        <v>338</v>
      </c>
      <c r="B98" s="351">
        <v>18416809901.91</v>
      </c>
      <c r="C98" s="351">
        <v>16508300987.540001</v>
      </c>
      <c r="D98" s="351">
        <v>19655437884.59</v>
      </c>
      <c r="E98" s="151">
        <f>F98+G98+H98-E99</f>
        <v>15269673004.860001</v>
      </c>
      <c r="F98" s="351">
        <v>7067663310.2399998</v>
      </c>
      <c r="G98" s="351">
        <v>8202009694.6199999</v>
      </c>
      <c r="H98" s="351">
        <v>0</v>
      </c>
      <c r="I98" s="351">
        <v>17112549957.17</v>
      </c>
      <c r="J98" s="351">
        <v>16857512000.200001</v>
      </c>
      <c r="K98" s="351">
        <v>19222929382.669998</v>
      </c>
      <c r="L98" s="151">
        <f>M98+N98+O98-L99</f>
        <v>14747132574.700001</v>
      </c>
      <c r="M98" s="351">
        <v>6894399246.8800001</v>
      </c>
      <c r="N98" s="351">
        <v>7852733327.8199997</v>
      </c>
      <c r="O98" s="351">
        <v>0</v>
      </c>
      <c r="P98" s="27">
        <f t="shared" si="75"/>
        <v>18416.809901910001</v>
      </c>
      <c r="Q98" s="27">
        <f t="shared" si="76"/>
        <v>19655.437884589999</v>
      </c>
      <c r="R98" s="27">
        <f>E98/1000000</f>
        <v>15269.67300486</v>
      </c>
      <c r="S98" s="27">
        <f>F98/1000000</f>
        <v>7067.6633102400001</v>
      </c>
      <c r="T98" s="27">
        <f t="shared" si="77"/>
        <v>8202.0096946199992</v>
      </c>
      <c r="U98" s="27">
        <f t="shared" si="78"/>
        <v>0</v>
      </c>
      <c r="V98" s="27">
        <f t="shared" si="79"/>
        <v>17112.549957169998</v>
      </c>
      <c r="W98" s="27">
        <f t="shared" si="80"/>
        <v>19222.929382669998</v>
      </c>
      <c r="X98" s="27">
        <f>L98/1000000</f>
        <v>14747.132574700001</v>
      </c>
      <c r="Y98" s="27">
        <f>M98/1000000</f>
        <v>6894.3992468799997</v>
      </c>
      <c r="Z98" s="27">
        <f t="shared" si="81"/>
        <v>7852.7333278199994</v>
      </c>
      <c r="AA98" s="27">
        <f t="shared" si="82"/>
        <v>0</v>
      </c>
      <c r="AB98" s="27">
        <f t="shared" si="83"/>
        <v>92.918100628248666</v>
      </c>
      <c r="AC98" s="27">
        <f t="shared" si="84"/>
        <v>97.799547868332695</v>
      </c>
      <c r="AD98" s="27">
        <f t="shared" si="85"/>
        <v>96.577919972525379</v>
      </c>
      <c r="AE98" s="27">
        <f t="shared" si="86"/>
        <v>97.548495793383836</v>
      </c>
      <c r="AF98" s="27">
        <f t="shared" si="87"/>
        <v>95.74157578685741</v>
      </c>
      <c r="AG98" s="40" t="s">
        <v>31</v>
      </c>
      <c r="AH98" s="33"/>
    </row>
    <row r="99" spans="1:35" s="217" customFormat="1" hidden="1" x14ac:dyDescent="0.25">
      <c r="A99" s="327" t="s">
        <v>74</v>
      </c>
      <c r="B99" s="252">
        <v>715214196.38999999</v>
      </c>
      <c r="C99" s="252">
        <v>16508300987.540001</v>
      </c>
      <c r="D99" s="252">
        <v>17223515183.93</v>
      </c>
      <c r="E99" s="308">
        <f>F99+G99+H99</f>
        <v>0</v>
      </c>
      <c r="F99" s="252">
        <v>0</v>
      </c>
      <c r="G99" s="252">
        <v>0</v>
      </c>
      <c r="H99" s="252">
        <v>0</v>
      </c>
      <c r="I99" s="252">
        <v>0</v>
      </c>
      <c r="J99" s="252">
        <v>16857512000.200001</v>
      </c>
      <c r="K99" s="252">
        <v>16857512000.200001</v>
      </c>
      <c r="L99" s="308">
        <f>M99+N99+O99</f>
        <v>0</v>
      </c>
      <c r="M99" s="252">
        <v>0</v>
      </c>
      <c r="N99" s="252">
        <v>0</v>
      </c>
      <c r="O99" s="252">
        <v>0</v>
      </c>
      <c r="P99" s="215">
        <f t="shared" si="75"/>
        <v>715.21419638999998</v>
      </c>
      <c r="Q99" s="215">
        <f t="shared" si="76"/>
        <v>17223.515183930002</v>
      </c>
      <c r="R99" s="215"/>
      <c r="S99" s="215"/>
      <c r="T99" s="215">
        <f t="shared" si="77"/>
        <v>0</v>
      </c>
      <c r="U99" s="215">
        <f t="shared" si="78"/>
        <v>0</v>
      </c>
      <c r="V99" s="215">
        <f t="shared" si="79"/>
        <v>0</v>
      </c>
      <c r="W99" s="215">
        <f t="shared" si="80"/>
        <v>16857.5120002</v>
      </c>
      <c r="X99" s="215"/>
      <c r="Y99" s="215"/>
      <c r="Z99" s="215">
        <f t="shared" si="81"/>
        <v>0</v>
      </c>
      <c r="AA99" s="215">
        <f t="shared" si="82"/>
        <v>0</v>
      </c>
      <c r="AB99" s="215">
        <f t="shared" si="83"/>
        <v>0</v>
      </c>
      <c r="AC99" s="215">
        <f t="shared" si="84"/>
        <v>97.874979759814124</v>
      </c>
      <c r="AD99" s="27" t="e">
        <f t="shared" si="85"/>
        <v>#DIV/0!</v>
      </c>
      <c r="AE99" s="27" t="e">
        <f t="shared" si="86"/>
        <v>#DIV/0!</v>
      </c>
      <c r="AF99" s="27" t="e">
        <f t="shared" si="87"/>
        <v>#DIV/0!</v>
      </c>
      <c r="AG99" s="29" t="e">
        <f t="shared" ref="AG99:AG105" si="88">AA99/U99%</f>
        <v>#DIV/0!</v>
      </c>
      <c r="AH99" s="256"/>
    </row>
    <row r="100" spans="1:35" x14ac:dyDescent="0.25">
      <c r="A100" s="85" t="s">
        <v>339</v>
      </c>
      <c r="B100" s="351">
        <v>2689655188.21</v>
      </c>
      <c r="C100" s="351">
        <v>80949738.540000007</v>
      </c>
      <c r="D100" s="351">
        <v>576793452.85000002</v>
      </c>
      <c r="E100" s="151">
        <f>F100+G100+H100-E101</f>
        <v>2193811473.9000001</v>
      </c>
      <c r="F100" s="351">
        <v>1277864849.3299999</v>
      </c>
      <c r="G100" s="351">
        <v>915946624.57000005</v>
      </c>
      <c r="H100" s="351">
        <v>0</v>
      </c>
      <c r="I100" s="351">
        <v>2586521217.7399998</v>
      </c>
      <c r="J100" s="351">
        <v>139163401.56</v>
      </c>
      <c r="K100" s="351">
        <v>568486628.60000002</v>
      </c>
      <c r="L100" s="151">
        <f>M100+N100+O100-L101</f>
        <v>2157197990.6999998</v>
      </c>
      <c r="M100" s="351">
        <v>1265211995.9100001</v>
      </c>
      <c r="N100" s="351">
        <v>891985994.78999996</v>
      </c>
      <c r="O100" s="351">
        <v>0</v>
      </c>
      <c r="P100" s="27">
        <f t="shared" si="75"/>
        <v>2689.6551882100002</v>
      </c>
      <c r="Q100" s="27">
        <f t="shared" si="76"/>
        <v>576.79345284999999</v>
      </c>
      <c r="R100" s="27">
        <f>E100/1000000</f>
        <v>2193.8114739000002</v>
      </c>
      <c r="S100" s="27">
        <f>F100/1000000</f>
        <v>1277.86484933</v>
      </c>
      <c r="T100" s="27">
        <f t="shared" si="77"/>
        <v>915.94662457000004</v>
      </c>
      <c r="U100" s="27">
        <f t="shared" si="78"/>
        <v>0</v>
      </c>
      <c r="V100" s="27">
        <f t="shared" si="79"/>
        <v>2586.5212177399999</v>
      </c>
      <c r="W100" s="27">
        <f t="shared" si="80"/>
        <v>568.48662860000002</v>
      </c>
      <c r="X100" s="27">
        <f>L100/1000000</f>
        <v>2157.1979907</v>
      </c>
      <c r="Y100" s="27">
        <f>M100/1000000</f>
        <v>1265.21199591</v>
      </c>
      <c r="Z100" s="27">
        <f t="shared" si="81"/>
        <v>891.98599478999995</v>
      </c>
      <c r="AA100" s="27">
        <f t="shared" si="82"/>
        <v>0</v>
      </c>
      <c r="AB100" s="27">
        <f t="shared" si="83"/>
        <v>96.165531889660642</v>
      </c>
      <c r="AC100" s="27">
        <f t="shared" si="84"/>
        <v>98.559826882750656</v>
      </c>
      <c r="AD100" s="27">
        <f t="shared" si="85"/>
        <v>98.331056080452001</v>
      </c>
      <c r="AE100" s="27">
        <f t="shared" si="86"/>
        <v>99.009844161013262</v>
      </c>
      <c r="AF100" s="27">
        <f t="shared" si="87"/>
        <v>97.384058291469913</v>
      </c>
      <c r="AG100" s="40" t="s">
        <v>31</v>
      </c>
      <c r="AH100" s="33"/>
    </row>
    <row r="101" spans="1:35" s="217" customFormat="1" hidden="1" x14ac:dyDescent="0.25">
      <c r="A101" s="327" t="s">
        <v>74</v>
      </c>
      <c r="B101" s="252">
        <v>62714961.07</v>
      </c>
      <c r="C101" s="252">
        <v>80949738.540000007</v>
      </c>
      <c r="D101" s="252">
        <v>143664699.61000001</v>
      </c>
      <c r="E101" s="308">
        <f>F101+G101+H101</f>
        <v>0</v>
      </c>
      <c r="F101" s="252">
        <v>0</v>
      </c>
      <c r="G101" s="252">
        <v>0</v>
      </c>
      <c r="H101" s="252">
        <v>0</v>
      </c>
      <c r="I101" s="252">
        <v>0</v>
      </c>
      <c r="J101" s="252">
        <v>139163401.56</v>
      </c>
      <c r="K101" s="252">
        <v>139163401.56</v>
      </c>
      <c r="L101" s="308">
        <f>M101+N101+O101</f>
        <v>0</v>
      </c>
      <c r="M101" s="252">
        <v>0</v>
      </c>
      <c r="N101" s="252">
        <v>0</v>
      </c>
      <c r="O101" s="252">
        <v>0</v>
      </c>
      <c r="P101" s="215">
        <f t="shared" si="75"/>
        <v>62.714961070000001</v>
      </c>
      <c r="Q101" s="215">
        <f t="shared" si="76"/>
        <v>143.66469961000001</v>
      </c>
      <c r="R101" s="215"/>
      <c r="S101" s="215"/>
      <c r="T101" s="215">
        <f t="shared" si="77"/>
        <v>0</v>
      </c>
      <c r="U101" s="215">
        <f t="shared" si="78"/>
        <v>0</v>
      </c>
      <c r="V101" s="215">
        <f t="shared" si="79"/>
        <v>0</v>
      </c>
      <c r="W101" s="215">
        <f t="shared" si="80"/>
        <v>139.16340156000001</v>
      </c>
      <c r="X101" s="215"/>
      <c r="Y101" s="215"/>
      <c r="Z101" s="215">
        <f t="shared" si="81"/>
        <v>0</v>
      </c>
      <c r="AA101" s="215">
        <f t="shared" si="82"/>
        <v>0</v>
      </c>
      <c r="AB101" s="215">
        <f t="shared" si="83"/>
        <v>0</v>
      </c>
      <c r="AC101" s="215">
        <f t="shared" si="84"/>
        <v>96.86680300573525</v>
      </c>
      <c r="AD101" s="27" t="e">
        <f t="shared" si="85"/>
        <v>#DIV/0!</v>
      </c>
      <c r="AE101" s="27" t="e">
        <f t="shared" si="86"/>
        <v>#DIV/0!</v>
      </c>
      <c r="AF101" s="27" t="e">
        <f t="shared" si="87"/>
        <v>#DIV/0!</v>
      </c>
      <c r="AG101" s="29" t="e">
        <f t="shared" si="88"/>
        <v>#DIV/0!</v>
      </c>
      <c r="AH101" s="256"/>
    </row>
    <row r="102" spans="1:35" x14ac:dyDescent="0.25">
      <c r="A102" s="85" t="s">
        <v>340</v>
      </c>
      <c r="B102" s="351">
        <v>2968196034.98</v>
      </c>
      <c r="C102" s="351">
        <v>0</v>
      </c>
      <c r="D102" s="351">
        <v>2968196034.98</v>
      </c>
      <c r="E102" s="151">
        <f>F102+G102+H102</f>
        <v>0</v>
      </c>
      <c r="F102" s="351">
        <v>0</v>
      </c>
      <c r="G102" s="351">
        <v>0</v>
      </c>
      <c r="H102" s="351">
        <v>0</v>
      </c>
      <c r="I102" s="351">
        <v>2968030936.2800002</v>
      </c>
      <c r="J102" s="351">
        <v>0</v>
      </c>
      <c r="K102" s="351">
        <v>2968030936.2800002</v>
      </c>
      <c r="L102" s="151">
        <f>M102+N102+O102</f>
        <v>0</v>
      </c>
      <c r="M102" s="351">
        <v>0</v>
      </c>
      <c r="N102" s="351">
        <v>0</v>
      </c>
      <c r="O102" s="351">
        <v>0</v>
      </c>
      <c r="P102" s="27">
        <f t="shared" ref="P102:P105" si="89">B102/1000000</f>
        <v>2968.1960349800001</v>
      </c>
      <c r="Q102" s="27">
        <f t="shared" ref="Q102:Q105" si="90">D102/1000000</f>
        <v>2968.1960349800001</v>
      </c>
      <c r="R102" s="27">
        <f t="shared" ref="R102:S104" si="91">E102/1000000</f>
        <v>0</v>
      </c>
      <c r="S102" s="27">
        <f t="shared" si="91"/>
        <v>0</v>
      </c>
      <c r="T102" s="27">
        <f t="shared" ref="T102:T105" si="92">G102/1000000</f>
        <v>0</v>
      </c>
      <c r="U102" s="27">
        <f t="shared" ref="U102:U105" si="93">H102/1000000</f>
        <v>0</v>
      </c>
      <c r="V102" s="27">
        <f t="shared" ref="V102:V105" si="94">I102/1000000</f>
        <v>2968.0309362800003</v>
      </c>
      <c r="W102" s="27">
        <f t="shared" ref="W102:W105" si="95">K102/1000000</f>
        <v>2968.0309362800003</v>
      </c>
      <c r="X102" s="27">
        <f t="shared" ref="X102:Y104" si="96">L102/1000000</f>
        <v>0</v>
      </c>
      <c r="Y102" s="27">
        <f t="shared" si="96"/>
        <v>0</v>
      </c>
      <c r="Z102" s="27">
        <f t="shared" ref="Z102:Z105" si="97">N102/1000000</f>
        <v>0</v>
      </c>
      <c r="AA102" s="27">
        <f t="shared" ref="AA102:AA105" si="98">O102/1000000</f>
        <v>0</v>
      </c>
      <c r="AB102" s="27">
        <f t="shared" ref="AB102:AB105" si="99">V102/P102%</f>
        <v>99.994437742721374</v>
      </c>
      <c r="AC102" s="27">
        <f t="shared" ref="AC102:AC105" si="100">W102/Q102%</f>
        <v>99.994437742721374</v>
      </c>
      <c r="AD102" s="43" t="s">
        <v>31</v>
      </c>
      <c r="AE102" s="43" t="s">
        <v>31</v>
      </c>
      <c r="AF102" s="43" t="s">
        <v>31</v>
      </c>
      <c r="AG102" s="40" t="s">
        <v>31</v>
      </c>
      <c r="AH102" s="33"/>
    </row>
    <row r="103" spans="1:35" ht="26.4" hidden="1" x14ac:dyDescent="0.25">
      <c r="A103" s="85" t="s">
        <v>341</v>
      </c>
      <c r="B103" s="351">
        <v>155702213.80000001</v>
      </c>
      <c r="C103" s="351">
        <v>0</v>
      </c>
      <c r="D103" s="351">
        <v>153471923.80000001</v>
      </c>
      <c r="E103" s="151">
        <f>F103+G103+H103</f>
        <v>2230290</v>
      </c>
      <c r="F103" s="351">
        <v>1973290</v>
      </c>
      <c r="G103" s="351">
        <v>240000</v>
      </c>
      <c r="H103" s="351">
        <v>17000</v>
      </c>
      <c r="I103" s="351">
        <v>154670008.24000001</v>
      </c>
      <c r="J103" s="351">
        <v>0</v>
      </c>
      <c r="K103" s="351">
        <v>152920457.80000001</v>
      </c>
      <c r="L103" s="151">
        <f>M103+N103+O103</f>
        <v>1749550.44</v>
      </c>
      <c r="M103" s="351">
        <v>1536522.94</v>
      </c>
      <c r="N103" s="351">
        <v>203997.5</v>
      </c>
      <c r="O103" s="351">
        <v>9030</v>
      </c>
      <c r="P103" s="27">
        <f t="shared" si="89"/>
        <v>155.70221380000001</v>
      </c>
      <c r="Q103" s="27">
        <f t="shared" si="90"/>
        <v>153.47192380000001</v>
      </c>
      <c r="R103" s="27">
        <f t="shared" si="91"/>
        <v>2.2302900000000001</v>
      </c>
      <c r="S103" s="27">
        <f t="shared" si="91"/>
        <v>1.97329</v>
      </c>
      <c r="T103" s="27">
        <f t="shared" si="92"/>
        <v>0.24</v>
      </c>
      <c r="U103" s="27">
        <f t="shared" si="93"/>
        <v>1.7000000000000001E-2</v>
      </c>
      <c r="V103" s="27">
        <f t="shared" si="94"/>
        <v>154.67000824000002</v>
      </c>
      <c r="W103" s="27">
        <f t="shared" si="95"/>
        <v>152.92045780000001</v>
      </c>
      <c r="X103" s="27">
        <f t="shared" si="96"/>
        <v>1.7495504399999999</v>
      </c>
      <c r="Y103" s="27">
        <f t="shared" si="96"/>
        <v>1.53652294</v>
      </c>
      <c r="Z103" s="27">
        <f t="shared" si="97"/>
        <v>0.2039975</v>
      </c>
      <c r="AA103" s="27">
        <f t="shared" si="98"/>
        <v>9.0299999999999998E-3</v>
      </c>
      <c r="AB103" s="27">
        <f t="shared" si="99"/>
        <v>99.337064300623339</v>
      </c>
      <c r="AC103" s="27">
        <f t="shared" si="100"/>
        <v>99.640673038855851</v>
      </c>
      <c r="AD103" s="27">
        <f t="shared" si="85"/>
        <v>78.444975317111229</v>
      </c>
      <c r="AE103" s="27">
        <f t="shared" si="86"/>
        <v>77.866048072001576</v>
      </c>
      <c r="AF103" s="27">
        <f t="shared" si="87"/>
        <v>84.998958333333334</v>
      </c>
      <c r="AG103" s="29">
        <f t="shared" si="88"/>
        <v>53.117647058823522</v>
      </c>
      <c r="AH103" s="33"/>
    </row>
    <row r="104" spans="1:35" x14ac:dyDescent="0.25">
      <c r="A104" s="85" t="s">
        <v>342</v>
      </c>
      <c r="B104" s="351">
        <v>565371659.5</v>
      </c>
      <c r="C104" s="351">
        <v>46776252.07</v>
      </c>
      <c r="D104" s="351">
        <v>483843668.93000001</v>
      </c>
      <c r="E104" s="151">
        <f>F104+G104+H104-E105</f>
        <v>124379695.07000001</v>
      </c>
      <c r="F104" s="351">
        <v>74625571.310000002</v>
      </c>
      <c r="G104" s="351">
        <v>49035018.189999998</v>
      </c>
      <c r="H104" s="351">
        <v>4643653.1400000006</v>
      </c>
      <c r="I104" s="351">
        <v>552564665.38</v>
      </c>
      <c r="J104" s="351">
        <v>50488913.140000001</v>
      </c>
      <c r="K104" s="351">
        <v>482263729.5</v>
      </c>
      <c r="L104" s="151">
        <f>M104+N104+O104-L105</f>
        <v>116865301.45</v>
      </c>
      <c r="M104" s="351">
        <v>70951298.75</v>
      </c>
      <c r="N104" s="351">
        <v>45347251.219999999</v>
      </c>
      <c r="O104" s="351">
        <v>4491299.0500000007</v>
      </c>
      <c r="P104" s="27">
        <f t="shared" si="89"/>
        <v>565.37165949999996</v>
      </c>
      <c r="Q104" s="27">
        <f t="shared" si="90"/>
        <v>483.84366893000004</v>
      </c>
      <c r="R104" s="27">
        <f t="shared" si="91"/>
        <v>124.37969507000001</v>
      </c>
      <c r="S104" s="27">
        <f t="shared" si="91"/>
        <v>74.625571309999998</v>
      </c>
      <c r="T104" s="27">
        <f t="shared" si="92"/>
        <v>49.035018189999995</v>
      </c>
      <c r="U104" s="27">
        <f t="shared" si="93"/>
        <v>4.6436531400000005</v>
      </c>
      <c r="V104" s="27">
        <f t="shared" si="94"/>
        <v>552.56466537999995</v>
      </c>
      <c r="W104" s="27">
        <f t="shared" si="95"/>
        <v>482.26372950000001</v>
      </c>
      <c r="X104" s="27">
        <f t="shared" si="96"/>
        <v>116.86530145</v>
      </c>
      <c r="Y104" s="27">
        <f t="shared" si="96"/>
        <v>70.951298750000007</v>
      </c>
      <c r="Z104" s="27">
        <f t="shared" si="97"/>
        <v>45.347251219999997</v>
      </c>
      <c r="AA104" s="27">
        <f t="shared" si="98"/>
        <v>4.4912990500000012</v>
      </c>
      <c r="AB104" s="27">
        <f t="shared" si="99"/>
        <v>97.73476545829584</v>
      </c>
      <c r="AC104" s="27">
        <f t="shared" si="100"/>
        <v>99.673460761924616</v>
      </c>
      <c r="AD104" s="27">
        <f t="shared" si="85"/>
        <v>93.958504548695856</v>
      </c>
      <c r="AE104" s="27">
        <f t="shared" si="86"/>
        <v>95.076389372301364</v>
      </c>
      <c r="AF104" s="27">
        <f t="shared" si="87"/>
        <v>92.479319665568994</v>
      </c>
      <c r="AG104" s="29">
        <f t="shared" si="88"/>
        <v>96.719089789725345</v>
      </c>
      <c r="AH104" s="33"/>
    </row>
    <row r="105" spans="1:35" s="217" customFormat="1" hidden="1" x14ac:dyDescent="0.25">
      <c r="A105" s="327" t="s">
        <v>74</v>
      </c>
      <c r="B105" s="252">
        <v>4754116.4800000004</v>
      </c>
      <c r="C105" s="252">
        <v>46776252.07</v>
      </c>
      <c r="D105" s="252">
        <v>47605820.979999997</v>
      </c>
      <c r="E105" s="308">
        <f>F105+G105+H105</f>
        <v>3924547.57</v>
      </c>
      <c r="F105" s="252">
        <v>0</v>
      </c>
      <c r="G105" s="252">
        <v>2793147.57</v>
      </c>
      <c r="H105" s="252">
        <v>1131400</v>
      </c>
      <c r="I105" s="252">
        <v>0</v>
      </c>
      <c r="J105" s="252">
        <v>50488913.140000001</v>
      </c>
      <c r="K105" s="252">
        <v>46564365.57</v>
      </c>
      <c r="L105" s="308">
        <f>M105+N105+O105</f>
        <v>3924547.57</v>
      </c>
      <c r="M105" s="252">
        <v>0</v>
      </c>
      <c r="N105" s="252">
        <v>2793147.57</v>
      </c>
      <c r="O105" s="252">
        <v>1131400</v>
      </c>
      <c r="P105" s="215">
        <f t="shared" si="89"/>
        <v>4.7541164800000004</v>
      </c>
      <c r="Q105" s="215">
        <f t="shared" si="90"/>
        <v>47.605820979999997</v>
      </c>
      <c r="R105" s="215"/>
      <c r="S105" s="215"/>
      <c r="T105" s="215">
        <f t="shared" si="92"/>
        <v>2.7931475699999999</v>
      </c>
      <c r="U105" s="215">
        <f t="shared" si="93"/>
        <v>1.1314</v>
      </c>
      <c r="V105" s="215">
        <f t="shared" si="94"/>
        <v>0</v>
      </c>
      <c r="W105" s="215">
        <f t="shared" si="95"/>
        <v>46.56436557</v>
      </c>
      <c r="X105" s="215"/>
      <c r="Y105" s="215"/>
      <c r="Z105" s="215">
        <f t="shared" si="97"/>
        <v>2.7931475699999999</v>
      </c>
      <c r="AA105" s="215">
        <f t="shared" si="98"/>
        <v>1.1314</v>
      </c>
      <c r="AB105" s="215">
        <f t="shared" si="99"/>
        <v>0</v>
      </c>
      <c r="AC105" s="215">
        <f t="shared" si="100"/>
        <v>97.812335994714743</v>
      </c>
      <c r="AD105" s="27" t="e">
        <f t="shared" si="85"/>
        <v>#DIV/0!</v>
      </c>
      <c r="AE105" s="27" t="e">
        <f t="shared" si="86"/>
        <v>#DIV/0!</v>
      </c>
      <c r="AF105" s="27">
        <f t="shared" si="87"/>
        <v>100</v>
      </c>
      <c r="AG105" s="29">
        <f t="shared" si="88"/>
        <v>100</v>
      </c>
      <c r="AH105" s="256"/>
    </row>
    <row r="106" spans="1:35" ht="26.4" hidden="1" x14ac:dyDescent="0.25">
      <c r="A106" s="85" t="s">
        <v>343</v>
      </c>
      <c r="B106" s="351">
        <v>8505114.2100000009</v>
      </c>
      <c r="C106" s="351">
        <v>0</v>
      </c>
      <c r="D106" s="351">
        <v>8505114.2100000009</v>
      </c>
      <c r="E106" s="151">
        <f>F106+G106+H106</f>
        <v>0</v>
      </c>
      <c r="F106" s="351">
        <v>0</v>
      </c>
      <c r="G106" s="351">
        <v>0</v>
      </c>
      <c r="H106" s="351">
        <v>0</v>
      </c>
      <c r="I106" s="351">
        <v>8505114.2100000009</v>
      </c>
      <c r="J106" s="351">
        <v>0</v>
      </c>
      <c r="K106" s="351">
        <v>8505114.2100000009</v>
      </c>
      <c r="L106" s="151">
        <f>M106+N106+O106</f>
        <v>0</v>
      </c>
      <c r="M106" s="351">
        <v>0</v>
      </c>
      <c r="N106" s="351">
        <v>0</v>
      </c>
      <c r="O106" s="351">
        <v>0</v>
      </c>
      <c r="P106" s="27">
        <f t="shared" ref="P106:P108" si="101">B106/1000000</f>
        <v>8.5051142100000003</v>
      </c>
      <c r="Q106" s="27">
        <f t="shared" ref="Q106:Q108" si="102">D106/1000000</f>
        <v>8.5051142100000003</v>
      </c>
      <c r="R106" s="27">
        <f>E106/1000000</f>
        <v>0</v>
      </c>
      <c r="S106" s="27">
        <f>F106/1000000</f>
        <v>0</v>
      </c>
      <c r="T106" s="27">
        <f t="shared" ref="T106:T108" si="103">G106/1000000</f>
        <v>0</v>
      </c>
      <c r="U106" s="27">
        <f t="shared" ref="U106:U108" si="104">H106/1000000</f>
        <v>0</v>
      </c>
      <c r="V106" s="27">
        <f t="shared" ref="V106:V108" si="105">I106/1000000</f>
        <v>8.5051142100000003</v>
      </c>
      <c r="W106" s="27">
        <f t="shared" ref="W106:W108" si="106">K106/1000000</f>
        <v>8.5051142100000003</v>
      </c>
      <c r="X106" s="27">
        <f>L106/1000000</f>
        <v>0</v>
      </c>
      <c r="Y106" s="27">
        <f>M106/1000000</f>
        <v>0</v>
      </c>
      <c r="Z106" s="27">
        <f t="shared" ref="Z106:Z108" si="107">N106/1000000</f>
        <v>0</v>
      </c>
      <c r="AA106" s="27">
        <f t="shared" ref="AA106:AA108" si="108">O106/1000000</f>
        <v>0</v>
      </c>
      <c r="AB106" s="27">
        <f t="shared" ref="AB106:AB108" si="109">V106/P106%</f>
        <v>100</v>
      </c>
      <c r="AC106" s="27">
        <f t="shared" ref="AC106:AC108" si="110">W106/Q106%</f>
        <v>100</v>
      </c>
      <c r="AD106" s="43" t="s">
        <v>31</v>
      </c>
      <c r="AE106" s="43" t="s">
        <v>31</v>
      </c>
      <c r="AF106" s="43" t="s">
        <v>31</v>
      </c>
      <c r="AG106" s="40" t="s">
        <v>31</v>
      </c>
      <c r="AH106" s="33"/>
    </row>
    <row r="107" spans="1:35" x14ac:dyDescent="0.25">
      <c r="A107" s="85" t="s">
        <v>344</v>
      </c>
      <c r="B107" s="351">
        <v>887131410.85000002</v>
      </c>
      <c r="C107" s="351">
        <v>515784200</v>
      </c>
      <c r="D107" s="351">
        <v>909758154.21000004</v>
      </c>
      <c r="E107" s="151">
        <f>F107+G107+H107-E108</f>
        <v>493157456.63999999</v>
      </c>
      <c r="F107" s="351">
        <v>276993044.33999997</v>
      </c>
      <c r="G107" s="351">
        <v>216144412.30000001</v>
      </c>
      <c r="H107" s="351">
        <v>20000</v>
      </c>
      <c r="I107" s="351">
        <v>871992236.25</v>
      </c>
      <c r="J107" s="351">
        <v>506128239.63999999</v>
      </c>
      <c r="K107" s="351">
        <v>891976496.60000002</v>
      </c>
      <c r="L107" s="151">
        <f>M107+N107+O107-L108</f>
        <v>486143979.28999996</v>
      </c>
      <c r="M107" s="351">
        <v>274202416.81999999</v>
      </c>
      <c r="N107" s="351">
        <v>211921562.47</v>
      </c>
      <c r="O107" s="351">
        <v>20000</v>
      </c>
      <c r="P107" s="27">
        <f t="shared" si="101"/>
        <v>887.13141085000007</v>
      </c>
      <c r="Q107" s="27">
        <f t="shared" si="102"/>
        <v>909.75815421000004</v>
      </c>
      <c r="R107" s="27">
        <f>E107/1000000</f>
        <v>493.15745663999996</v>
      </c>
      <c r="S107" s="27">
        <f>F107/1000000</f>
        <v>276.99304433999998</v>
      </c>
      <c r="T107" s="27">
        <f t="shared" si="103"/>
        <v>216.1444123</v>
      </c>
      <c r="U107" s="27">
        <f t="shared" si="104"/>
        <v>0.02</v>
      </c>
      <c r="V107" s="27">
        <f t="shared" si="105"/>
        <v>871.99223625000002</v>
      </c>
      <c r="W107" s="27">
        <f t="shared" si="106"/>
        <v>891.97649660000002</v>
      </c>
      <c r="X107" s="27">
        <f>L107/1000000</f>
        <v>486.14397928999995</v>
      </c>
      <c r="Y107" s="27">
        <f>M107/1000000</f>
        <v>274.20241682</v>
      </c>
      <c r="Z107" s="27">
        <f t="shared" si="107"/>
        <v>211.92156247</v>
      </c>
      <c r="AA107" s="27">
        <f t="shared" si="108"/>
        <v>0.02</v>
      </c>
      <c r="AB107" s="27">
        <f t="shared" si="109"/>
        <v>98.293468767440615</v>
      </c>
      <c r="AC107" s="27">
        <f t="shared" si="110"/>
        <v>98.045452241597005</v>
      </c>
      <c r="AD107" s="27">
        <f>X107/R107%</f>
        <v>98.577842176860813</v>
      </c>
      <c r="AE107" s="27">
        <f>Y107/S107%</f>
        <v>98.992527943562877</v>
      </c>
      <c r="AF107" s="27">
        <f t="shared" ref="AF107:AF108" si="111">Z107/T107%</f>
        <v>98.046283137711256</v>
      </c>
      <c r="AG107" s="29">
        <f>AA107/U107%</f>
        <v>100</v>
      </c>
      <c r="AH107" s="33"/>
    </row>
    <row r="108" spans="1:35" s="217" customFormat="1" hidden="1" x14ac:dyDescent="0.25">
      <c r="A108" s="327" t="s">
        <v>74</v>
      </c>
      <c r="B108" s="252">
        <v>6784061.6100000003</v>
      </c>
      <c r="C108" s="252">
        <v>515784200</v>
      </c>
      <c r="D108" s="252">
        <v>522568261.61000001</v>
      </c>
      <c r="E108" s="308">
        <f>F108+G108+H108</f>
        <v>0</v>
      </c>
      <c r="F108" s="252">
        <v>0</v>
      </c>
      <c r="G108" s="252">
        <v>0</v>
      </c>
      <c r="H108" s="252">
        <v>0</v>
      </c>
      <c r="I108" s="252">
        <v>0</v>
      </c>
      <c r="J108" s="252">
        <v>506128239.63999999</v>
      </c>
      <c r="K108" s="252">
        <v>506128239.63999999</v>
      </c>
      <c r="L108" s="308">
        <f>M108+N108+O108</f>
        <v>0</v>
      </c>
      <c r="M108" s="252">
        <v>0</v>
      </c>
      <c r="N108" s="252">
        <v>0</v>
      </c>
      <c r="O108" s="252">
        <v>0</v>
      </c>
      <c r="P108" s="215">
        <f t="shared" si="101"/>
        <v>6.7840616100000002</v>
      </c>
      <c r="Q108" s="215">
        <f t="shared" si="102"/>
        <v>522.56826161000004</v>
      </c>
      <c r="R108" s="215"/>
      <c r="S108" s="215"/>
      <c r="T108" s="215">
        <f t="shared" si="103"/>
        <v>0</v>
      </c>
      <c r="U108" s="215">
        <f t="shared" si="104"/>
        <v>0</v>
      </c>
      <c r="V108" s="215">
        <f t="shared" si="105"/>
        <v>0</v>
      </c>
      <c r="W108" s="215">
        <f t="shared" si="106"/>
        <v>506.12823964</v>
      </c>
      <c r="X108" s="215"/>
      <c r="Y108" s="215">
        <f>M108/1000000</f>
        <v>0</v>
      </c>
      <c r="Z108" s="215">
        <f t="shared" si="107"/>
        <v>0</v>
      </c>
      <c r="AA108" s="215">
        <f t="shared" si="108"/>
        <v>0</v>
      </c>
      <c r="AB108" s="215">
        <f t="shared" si="109"/>
        <v>0</v>
      </c>
      <c r="AC108" s="215">
        <f t="shared" si="110"/>
        <v>96.85399531931975</v>
      </c>
      <c r="AD108" s="215"/>
      <c r="AE108" s="215"/>
      <c r="AF108" s="215" t="e">
        <f t="shared" si="111"/>
        <v>#DIV/0!</v>
      </c>
      <c r="AG108" s="216"/>
      <c r="AH108" s="256"/>
    </row>
    <row r="109" spans="1:35" s="35" customFormat="1" ht="13.5" customHeight="1" x14ac:dyDescent="0.25">
      <c r="A109" s="84" t="s">
        <v>88</v>
      </c>
      <c r="B109" s="336">
        <v>4457399136.6899996</v>
      </c>
      <c r="C109" s="336">
        <v>499204134.42000002</v>
      </c>
      <c r="D109" s="336">
        <v>1623967987.23</v>
      </c>
      <c r="E109" s="151">
        <f>F109+G109+H109-E110</f>
        <v>3166534969.4100003</v>
      </c>
      <c r="F109" s="336">
        <v>1040074672.88</v>
      </c>
      <c r="G109" s="336">
        <v>1715697183.72</v>
      </c>
      <c r="H109" s="336">
        <v>576863427.27999997</v>
      </c>
      <c r="I109" s="336">
        <v>4373155745.8599997</v>
      </c>
      <c r="J109" s="336">
        <v>511218002.5</v>
      </c>
      <c r="K109" s="336">
        <v>1603912030.45</v>
      </c>
      <c r="L109" s="151">
        <f>M109+N109+O109-L110</f>
        <v>3114775310.5999999</v>
      </c>
      <c r="M109" s="336">
        <v>1029261133.74</v>
      </c>
      <c r="N109" s="336">
        <v>1681921674.5899999</v>
      </c>
      <c r="O109" s="336">
        <v>569278909.58000004</v>
      </c>
      <c r="P109" s="31">
        <f t="shared" si="45"/>
        <v>4457.39913669</v>
      </c>
      <c r="Q109" s="31">
        <f t="shared" si="54"/>
        <v>1623.9679872300001</v>
      </c>
      <c r="R109" s="31">
        <f>E109/1000000</f>
        <v>3166.5349694100005</v>
      </c>
      <c r="S109" s="31">
        <f>F109/1000000</f>
        <v>1040.07467288</v>
      </c>
      <c r="T109" s="31">
        <f t="shared" si="53"/>
        <v>1715.6971837200001</v>
      </c>
      <c r="U109" s="31">
        <f t="shared" si="53"/>
        <v>576.86342728</v>
      </c>
      <c r="V109" s="31">
        <f t="shared" si="53"/>
        <v>4373.15574586</v>
      </c>
      <c r="W109" s="31">
        <f t="shared" si="43"/>
        <v>1603.91203045</v>
      </c>
      <c r="X109" s="31">
        <f>L109/1000000</f>
        <v>3114.7753106</v>
      </c>
      <c r="Y109" s="31">
        <f>M109/1000000</f>
        <v>1029.2611337400001</v>
      </c>
      <c r="Z109" s="31">
        <f t="shared" si="43"/>
        <v>1681.9216745899998</v>
      </c>
      <c r="AA109" s="31">
        <f t="shared" si="43"/>
        <v>569.27890958</v>
      </c>
      <c r="AB109" s="31">
        <f t="shared" si="74"/>
        <v>98.110032594196667</v>
      </c>
      <c r="AC109" s="31">
        <f t="shared" si="55"/>
        <v>98.76500294724346</v>
      </c>
      <c r="AD109" s="31">
        <f>X109/R109%</f>
        <v>98.365416478579277</v>
      </c>
      <c r="AE109" s="31">
        <f>Y109/S109%</f>
        <v>98.96031127168429</v>
      </c>
      <c r="AF109" s="31">
        <f t="shared" si="73"/>
        <v>98.03138284246829</v>
      </c>
      <c r="AG109" s="32">
        <f>AA109/U109%</f>
        <v>98.685214326073307</v>
      </c>
      <c r="AH109" s="33"/>
    </row>
    <row r="110" spans="1:35" s="217" customFormat="1" hidden="1" x14ac:dyDescent="0.25">
      <c r="A110" s="248" t="s">
        <v>68</v>
      </c>
      <c r="B110" s="252">
        <v>25357891</v>
      </c>
      <c r="C110" s="252">
        <v>499204134.42000002</v>
      </c>
      <c r="D110" s="252">
        <v>358461710.94999999</v>
      </c>
      <c r="E110" s="308">
        <f>F110+G110+H110</f>
        <v>166100314.47</v>
      </c>
      <c r="F110" s="252">
        <v>0</v>
      </c>
      <c r="G110" s="252">
        <v>47391694</v>
      </c>
      <c r="H110" s="252">
        <v>118708620.47</v>
      </c>
      <c r="I110" s="252">
        <v>0</v>
      </c>
      <c r="J110" s="252">
        <v>511218002.5</v>
      </c>
      <c r="K110" s="252">
        <v>345531595.19</v>
      </c>
      <c r="L110" s="308">
        <f>M110+N110+O110</f>
        <v>165686407.31</v>
      </c>
      <c r="M110" s="252">
        <v>0</v>
      </c>
      <c r="N110" s="252">
        <v>46995168.710000001</v>
      </c>
      <c r="O110" s="252">
        <v>118691238.59999999</v>
      </c>
      <c r="P110" s="215">
        <f t="shared" si="45"/>
        <v>25.357890999999999</v>
      </c>
      <c r="Q110" s="215">
        <f t="shared" si="54"/>
        <v>358.46171095</v>
      </c>
      <c r="R110" s="215"/>
      <c r="S110" s="215"/>
      <c r="T110" s="215">
        <f t="shared" si="53"/>
        <v>47.391694000000001</v>
      </c>
      <c r="U110" s="215">
        <f t="shared" si="53"/>
        <v>118.70862047</v>
      </c>
      <c r="V110" s="215"/>
      <c r="W110" s="215">
        <f t="shared" si="43"/>
        <v>345.53159519000002</v>
      </c>
      <c r="X110" s="215"/>
      <c r="Y110" s="215"/>
      <c r="Z110" s="215">
        <f t="shared" si="43"/>
        <v>46.995168710000002</v>
      </c>
      <c r="AA110" s="215">
        <f t="shared" si="43"/>
        <v>118.69123859999999</v>
      </c>
      <c r="AB110" s="215"/>
      <c r="AC110" s="215">
        <f t="shared" si="55"/>
        <v>96.392887897083227</v>
      </c>
      <c r="AD110" s="215"/>
      <c r="AE110" s="215"/>
      <c r="AF110" s="215">
        <f t="shared" si="73"/>
        <v>99.163302138978196</v>
      </c>
      <c r="AG110" s="255">
        <f t="shared" si="73"/>
        <v>99.985357533487303</v>
      </c>
      <c r="AH110" s="256"/>
    </row>
    <row r="111" spans="1:35" s="35" customFormat="1" x14ac:dyDescent="0.25">
      <c r="A111" s="84" t="s">
        <v>89</v>
      </c>
      <c r="B111" s="336">
        <v>17437986160.73</v>
      </c>
      <c r="C111" s="336">
        <v>0</v>
      </c>
      <c r="D111" s="336">
        <v>17436033388.099998</v>
      </c>
      <c r="E111" s="151">
        <f>F111+G111+H111-E112</f>
        <v>1952772.63</v>
      </c>
      <c r="F111" s="336">
        <v>1037772.63</v>
      </c>
      <c r="G111" s="336">
        <v>915000</v>
      </c>
      <c r="H111" s="336">
        <v>0</v>
      </c>
      <c r="I111" s="336">
        <v>16777114298.26</v>
      </c>
      <c r="J111" s="336">
        <v>0</v>
      </c>
      <c r="K111" s="336">
        <v>16775461600.030001</v>
      </c>
      <c r="L111" s="151">
        <f>M111+N111+O111-L112</f>
        <v>1652698.23</v>
      </c>
      <c r="M111" s="336">
        <v>1037772.63</v>
      </c>
      <c r="N111" s="336">
        <v>614925.6</v>
      </c>
      <c r="O111" s="336">
        <v>0</v>
      </c>
      <c r="P111" s="31">
        <f t="shared" si="45"/>
        <v>17437.986160730001</v>
      </c>
      <c r="Q111" s="31">
        <f t="shared" si="54"/>
        <v>17436.033388099997</v>
      </c>
      <c r="R111" s="31">
        <f>E111/1000000</f>
        <v>1.9527726299999999</v>
      </c>
      <c r="S111" s="31">
        <f>F111/1000000</f>
        <v>1.0377726300000001</v>
      </c>
      <c r="T111" s="31">
        <f>G111/1000000</f>
        <v>0.91500000000000004</v>
      </c>
      <c r="U111" s="31">
        <f>H111/1000000</f>
        <v>0</v>
      </c>
      <c r="V111" s="31">
        <f t="shared" si="53"/>
        <v>16777.114298259999</v>
      </c>
      <c r="W111" s="31">
        <f t="shared" si="43"/>
        <v>16775.461600030001</v>
      </c>
      <c r="X111" s="31">
        <f t="shared" si="43"/>
        <v>1.6526982299999999</v>
      </c>
      <c r="Y111" s="31">
        <f t="shared" si="43"/>
        <v>1.0377726300000001</v>
      </c>
      <c r="Z111" s="31">
        <f t="shared" si="43"/>
        <v>0.61492559999999996</v>
      </c>
      <c r="AA111" s="31">
        <f t="shared" si="43"/>
        <v>0</v>
      </c>
      <c r="AB111" s="31">
        <f t="shared" si="74"/>
        <v>96.210159496752723</v>
      </c>
      <c r="AC111" s="31">
        <f t="shared" si="55"/>
        <v>96.211456049855741</v>
      </c>
      <c r="AD111" s="31">
        <f>X111/R111%</f>
        <v>84.633418382149287</v>
      </c>
      <c r="AE111" s="31">
        <f>Y111/S111%</f>
        <v>100</v>
      </c>
      <c r="AF111" s="31">
        <f t="shared" si="73"/>
        <v>67.204983606557377</v>
      </c>
      <c r="AG111" s="91" t="s">
        <v>31</v>
      </c>
      <c r="AH111" s="53"/>
      <c r="AI111" s="53"/>
    </row>
    <row r="112" spans="1:35" s="217" customFormat="1" hidden="1" x14ac:dyDescent="0.25">
      <c r="A112" s="248" t="s">
        <v>68</v>
      </c>
      <c r="B112" s="252">
        <v>337944500</v>
      </c>
      <c r="C112" s="252">
        <v>0</v>
      </c>
      <c r="D112" s="252">
        <v>337944500</v>
      </c>
      <c r="E112" s="308">
        <f>F112+G112+H112</f>
        <v>0</v>
      </c>
      <c r="F112" s="352">
        <v>0</v>
      </c>
      <c r="G112" s="261">
        <v>0</v>
      </c>
      <c r="H112" s="261">
        <v>0</v>
      </c>
      <c r="I112" s="261">
        <v>337944500</v>
      </c>
      <c r="J112" s="261">
        <v>0</v>
      </c>
      <c r="K112" s="261">
        <v>337944500</v>
      </c>
      <c r="L112" s="308">
        <f>M112+N112+O112</f>
        <v>0</v>
      </c>
      <c r="M112" s="252">
        <v>0</v>
      </c>
      <c r="N112" s="252">
        <v>0</v>
      </c>
      <c r="O112" s="252">
        <v>0</v>
      </c>
      <c r="P112" s="215">
        <v>0</v>
      </c>
      <c r="Q112" s="215">
        <f t="shared" si="54"/>
        <v>337.94450000000001</v>
      </c>
      <c r="R112" s="215"/>
      <c r="S112" s="215">
        <f t="shared" ref="R112:T113" si="112">F112/1000000</f>
        <v>0</v>
      </c>
      <c r="T112" s="215">
        <f t="shared" si="112"/>
        <v>0</v>
      </c>
      <c r="U112" s="215">
        <f t="shared" ref="U112:U120" si="113">H112/1000000</f>
        <v>0</v>
      </c>
      <c r="V112" s="215">
        <f t="shared" si="53"/>
        <v>337.94450000000001</v>
      </c>
      <c r="W112" s="215">
        <f t="shared" si="43"/>
        <v>337.94450000000001</v>
      </c>
      <c r="X112" s="215"/>
      <c r="Y112" s="215">
        <f t="shared" si="43"/>
        <v>0</v>
      </c>
      <c r="Z112" s="215">
        <f t="shared" si="43"/>
        <v>0</v>
      </c>
      <c r="AA112" s="251">
        <f t="shared" si="43"/>
        <v>0</v>
      </c>
      <c r="AB112" s="215"/>
      <c r="AC112" s="215">
        <f t="shared" si="55"/>
        <v>100</v>
      </c>
      <c r="AD112" s="215"/>
      <c r="AE112" s="215"/>
      <c r="AF112" s="215"/>
      <c r="AG112" s="255"/>
      <c r="AH112" s="256"/>
    </row>
    <row r="113" spans="1:35" x14ac:dyDescent="0.25">
      <c r="A113" s="90" t="s">
        <v>90</v>
      </c>
      <c r="B113" s="300">
        <v>5472919395.2200003</v>
      </c>
      <c r="C113" s="300">
        <v>0</v>
      </c>
      <c r="D113" s="300">
        <v>5472889395.2200003</v>
      </c>
      <c r="E113" s="151">
        <f>F113+G113+H113</f>
        <v>30000</v>
      </c>
      <c r="F113" s="300">
        <v>30000</v>
      </c>
      <c r="G113" s="300">
        <v>0</v>
      </c>
      <c r="H113" s="300">
        <v>0</v>
      </c>
      <c r="I113" s="89">
        <v>5060081264</v>
      </c>
      <c r="J113" s="89">
        <v>0</v>
      </c>
      <c r="K113" s="89">
        <v>5060051264</v>
      </c>
      <c r="L113" s="151">
        <f>M113+N113+O113</f>
        <v>30000</v>
      </c>
      <c r="M113" s="89">
        <v>30000</v>
      </c>
      <c r="N113" s="89">
        <v>0</v>
      </c>
      <c r="O113" s="89">
        <v>0</v>
      </c>
      <c r="P113" s="27">
        <f>B113/1000000</f>
        <v>5472.9193952200003</v>
      </c>
      <c r="Q113" s="27">
        <f t="shared" si="54"/>
        <v>5472.8893952200006</v>
      </c>
      <c r="R113" s="27">
        <f t="shared" si="112"/>
        <v>0.03</v>
      </c>
      <c r="S113" s="27">
        <f t="shared" si="112"/>
        <v>0.03</v>
      </c>
      <c r="T113" s="27">
        <f t="shared" si="112"/>
        <v>0</v>
      </c>
      <c r="U113" s="27">
        <f t="shared" si="113"/>
        <v>0</v>
      </c>
      <c r="V113" s="27">
        <f t="shared" si="53"/>
        <v>5060.0812640000004</v>
      </c>
      <c r="W113" s="27">
        <f t="shared" si="43"/>
        <v>5060.0512639999997</v>
      </c>
      <c r="X113" s="27">
        <f t="shared" si="43"/>
        <v>0.03</v>
      </c>
      <c r="Y113" s="27">
        <f t="shared" si="43"/>
        <v>0.03</v>
      </c>
      <c r="Z113" s="27">
        <f>N113/1000000</f>
        <v>0</v>
      </c>
      <c r="AA113" s="27">
        <f t="shared" si="43"/>
        <v>0</v>
      </c>
      <c r="AB113" s="27">
        <f t="shared" si="74"/>
        <v>92.456710917749504</v>
      </c>
      <c r="AC113" s="27">
        <f t="shared" si="55"/>
        <v>92.456669568718638</v>
      </c>
      <c r="AD113" s="43" t="s">
        <v>31</v>
      </c>
      <c r="AE113" s="43" t="s">
        <v>31</v>
      </c>
      <c r="AF113" s="43" t="s">
        <v>31</v>
      </c>
      <c r="AG113" s="40" t="s">
        <v>31</v>
      </c>
      <c r="AH113" s="61"/>
      <c r="AI113" s="6"/>
    </row>
    <row r="114" spans="1:35" x14ac:dyDescent="0.25">
      <c r="A114" s="90" t="s">
        <v>91</v>
      </c>
      <c r="B114" s="89">
        <v>3729699082.9499998</v>
      </c>
      <c r="C114" s="89">
        <v>0</v>
      </c>
      <c r="D114" s="300">
        <v>3729699082.9499998</v>
      </c>
      <c r="E114" s="151">
        <f>F114+G114+H114-E115</f>
        <v>0</v>
      </c>
      <c r="F114" s="89">
        <v>0</v>
      </c>
      <c r="G114" s="89">
        <v>0</v>
      </c>
      <c r="H114" s="89">
        <v>0</v>
      </c>
      <c r="I114" s="300">
        <v>3510805194.5900002</v>
      </c>
      <c r="J114" s="300">
        <v>0</v>
      </c>
      <c r="K114" s="300">
        <v>3510805194.5900002</v>
      </c>
      <c r="L114" s="151">
        <f>M114+N114+O114-L115</f>
        <v>0</v>
      </c>
      <c r="M114" s="300">
        <v>0</v>
      </c>
      <c r="N114" s="300">
        <v>0</v>
      </c>
      <c r="O114" s="300">
        <v>0</v>
      </c>
      <c r="P114" s="27">
        <f>B114/1000000</f>
        <v>3729.6990829499996</v>
      </c>
      <c r="Q114" s="27">
        <f t="shared" si="54"/>
        <v>3729.6990829499996</v>
      </c>
      <c r="R114" s="27">
        <f t="shared" ref="R114:T116" si="114">E114/1000000</f>
        <v>0</v>
      </c>
      <c r="S114" s="27">
        <f t="shared" si="114"/>
        <v>0</v>
      </c>
      <c r="T114" s="27">
        <f t="shared" si="114"/>
        <v>0</v>
      </c>
      <c r="U114" s="27">
        <f t="shared" si="113"/>
        <v>0</v>
      </c>
      <c r="V114" s="27">
        <f>I114/1000000</f>
        <v>3510.8051945900002</v>
      </c>
      <c r="W114" s="27">
        <f t="shared" si="43"/>
        <v>3510.8051945900002</v>
      </c>
      <c r="X114" s="27">
        <f t="shared" ref="X114:Y121" si="115">L114/1000000</f>
        <v>0</v>
      </c>
      <c r="Y114" s="27">
        <f t="shared" si="115"/>
        <v>0</v>
      </c>
      <c r="Z114" s="27">
        <f>N114/1000000</f>
        <v>0</v>
      </c>
      <c r="AA114" s="27">
        <f t="shared" si="43"/>
        <v>0</v>
      </c>
      <c r="AB114" s="27">
        <f t="shared" si="74"/>
        <v>94.131057667342276</v>
      </c>
      <c r="AC114" s="27">
        <f t="shared" si="55"/>
        <v>94.131057667342276</v>
      </c>
      <c r="AD114" s="43" t="s">
        <v>31</v>
      </c>
      <c r="AE114" s="43" t="s">
        <v>31</v>
      </c>
      <c r="AF114" s="43" t="s">
        <v>31</v>
      </c>
      <c r="AG114" s="40" t="s">
        <v>31</v>
      </c>
      <c r="AH114" s="61"/>
    </row>
    <row r="115" spans="1:35" s="58" customFormat="1" hidden="1" x14ac:dyDescent="0.25">
      <c r="A115" s="248" t="s">
        <v>74</v>
      </c>
      <c r="B115" s="350"/>
      <c r="C115" s="350"/>
      <c r="D115" s="343"/>
      <c r="E115" s="353">
        <f>F115+G115+H115</f>
        <v>0</v>
      </c>
      <c r="F115" s="350"/>
      <c r="G115" s="350"/>
      <c r="H115" s="350"/>
      <c r="I115" s="343"/>
      <c r="J115" s="343"/>
      <c r="K115" s="343"/>
      <c r="L115" s="353">
        <f>M115+N115+O115</f>
        <v>0</v>
      </c>
      <c r="M115" s="343"/>
      <c r="N115" s="343"/>
      <c r="O115" s="343"/>
      <c r="P115" s="49">
        <f>B115/1000000</f>
        <v>0</v>
      </c>
      <c r="Q115" s="49">
        <f t="shared" ref="Q115" si="116">D115/1000000</f>
        <v>0</v>
      </c>
      <c r="R115" s="49">
        <f t="shared" ref="R115" si="117">E115/1000000</f>
        <v>0</v>
      </c>
      <c r="S115" s="49">
        <f t="shared" ref="S115" si="118">F115/1000000</f>
        <v>0</v>
      </c>
      <c r="T115" s="49">
        <f t="shared" ref="T115" si="119">G115/1000000</f>
        <v>0</v>
      </c>
      <c r="U115" s="49">
        <f t="shared" si="113"/>
        <v>0</v>
      </c>
      <c r="V115" s="49">
        <f>I115/1000000</f>
        <v>0</v>
      </c>
      <c r="W115" s="49">
        <f t="shared" ref="W115" si="120">K115/1000000</f>
        <v>0</v>
      </c>
      <c r="X115" s="49">
        <f t="shared" ref="X115" si="121">L115/1000000</f>
        <v>0</v>
      </c>
      <c r="Y115" s="49">
        <f t="shared" ref="Y115" si="122">M115/1000000</f>
        <v>0</v>
      </c>
      <c r="Z115" s="49">
        <f>N115/1000000</f>
        <v>0</v>
      </c>
      <c r="AA115" s="49">
        <f t="shared" ref="AA115" si="123">O115/1000000</f>
        <v>0</v>
      </c>
      <c r="AB115" s="49" t="e">
        <f t="shared" ref="AB115" si="124">V115/P115%</f>
        <v>#DIV/0!</v>
      </c>
      <c r="AC115" s="49" t="e">
        <f t="shared" ref="AC115" si="125">W115/Q115%</f>
        <v>#DIV/0!</v>
      </c>
      <c r="AD115" s="50" t="s">
        <v>31</v>
      </c>
      <c r="AE115" s="50" t="s">
        <v>31</v>
      </c>
      <c r="AF115" s="50" t="s">
        <v>31</v>
      </c>
      <c r="AG115" s="55" t="s">
        <v>31</v>
      </c>
      <c r="AH115" s="56"/>
    </row>
    <row r="116" spans="1:35" x14ac:dyDescent="0.25">
      <c r="A116" s="221" t="s">
        <v>345</v>
      </c>
      <c r="B116" s="89">
        <v>697972979.14999998</v>
      </c>
      <c r="C116" s="89">
        <v>0</v>
      </c>
      <c r="D116" s="300">
        <v>697972979.14999998</v>
      </c>
      <c r="E116" s="151">
        <f>F116+G116+H116</f>
        <v>0</v>
      </c>
      <c r="F116" s="89">
        <v>0</v>
      </c>
      <c r="G116" s="89">
        <v>0</v>
      </c>
      <c r="H116" s="89">
        <v>0</v>
      </c>
      <c r="I116" s="300">
        <v>697884418.11000001</v>
      </c>
      <c r="J116" s="300">
        <v>0</v>
      </c>
      <c r="K116" s="300">
        <v>697884418.11000001</v>
      </c>
      <c r="L116" s="151">
        <f>M116+N116+O116</f>
        <v>0</v>
      </c>
      <c r="M116" s="300">
        <v>0</v>
      </c>
      <c r="N116" s="300">
        <v>0</v>
      </c>
      <c r="O116" s="300">
        <v>0</v>
      </c>
      <c r="P116" s="27">
        <f>B116/1000000</f>
        <v>697.97297915000001</v>
      </c>
      <c r="Q116" s="27">
        <f t="shared" ref="Q116" si="126">D116/1000000</f>
        <v>697.97297915000001</v>
      </c>
      <c r="R116" s="27">
        <f t="shared" si="114"/>
        <v>0</v>
      </c>
      <c r="S116" s="27">
        <f t="shared" si="114"/>
        <v>0</v>
      </c>
      <c r="T116" s="27">
        <f t="shared" si="114"/>
        <v>0</v>
      </c>
      <c r="U116" s="27">
        <f t="shared" si="113"/>
        <v>0</v>
      </c>
      <c r="V116" s="27">
        <f>I116/1000000</f>
        <v>697.88441811000007</v>
      </c>
      <c r="W116" s="27">
        <f t="shared" ref="W116" si="127">K116/1000000</f>
        <v>697.88441811000007</v>
      </c>
      <c r="X116" s="27">
        <f t="shared" si="115"/>
        <v>0</v>
      </c>
      <c r="Y116" s="27">
        <f t="shared" si="115"/>
        <v>0</v>
      </c>
      <c r="Z116" s="27">
        <f>N116/1000000</f>
        <v>0</v>
      </c>
      <c r="AA116" s="27">
        <f t="shared" ref="AA116" si="128">O116/1000000</f>
        <v>0</v>
      </c>
      <c r="AB116" s="27">
        <f t="shared" ref="AB116" si="129">V116/P116%</f>
        <v>99.98731168073185</v>
      </c>
      <c r="AC116" s="27">
        <f t="shared" ref="AC116" si="130">W116/Q116%</f>
        <v>99.98731168073185</v>
      </c>
      <c r="AD116" s="43" t="s">
        <v>31</v>
      </c>
      <c r="AE116" s="43" t="s">
        <v>31</v>
      </c>
      <c r="AF116" s="43" t="s">
        <v>31</v>
      </c>
      <c r="AG116" s="40" t="s">
        <v>31</v>
      </c>
      <c r="AH116" s="61"/>
    </row>
    <row r="117" spans="1:35" hidden="1" x14ac:dyDescent="0.25">
      <c r="A117" s="221" t="s">
        <v>412</v>
      </c>
      <c r="B117" s="89">
        <v>199333711.27000001</v>
      </c>
      <c r="C117" s="89">
        <v>0</v>
      </c>
      <c r="D117" s="300">
        <v>199333711.27000001</v>
      </c>
      <c r="E117" s="151">
        <f>F117+G117+H117-E118</f>
        <v>0</v>
      </c>
      <c r="F117" s="89">
        <v>0</v>
      </c>
      <c r="G117" s="89">
        <v>0</v>
      </c>
      <c r="H117" s="89">
        <v>0</v>
      </c>
      <c r="I117" s="300">
        <v>199333711.27000001</v>
      </c>
      <c r="J117" s="300">
        <v>0</v>
      </c>
      <c r="K117" s="300">
        <v>199333711.27000001</v>
      </c>
      <c r="L117" s="151">
        <f>M117+N117+O117-L118</f>
        <v>0</v>
      </c>
      <c r="M117" s="300">
        <v>0</v>
      </c>
      <c r="N117" s="300">
        <v>0</v>
      </c>
      <c r="O117" s="300">
        <v>0</v>
      </c>
      <c r="P117" s="27">
        <f t="shared" ref="P117:P119" si="131">B117/1000000</f>
        <v>199.33371127000001</v>
      </c>
      <c r="Q117" s="27">
        <f t="shared" ref="Q117:Q119" si="132">D117/1000000</f>
        <v>199.33371127000001</v>
      </c>
      <c r="R117" s="27">
        <f t="shared" ref="R117:R118" si="133">E117/1000000</f>
        <v>0</v>
      </c>
      <c r="S117" s="27">
        <f t="shared" ref="S117:S118" si="134">F117/1000000</f>
        <v>0</v>
      </c>
      <c r="T117" s="27">
        <f t="shared" ref="T117:T119" si="135">G117/1000000</f>
        <v>0</v>
      </c>
      <c r="U117" s="27">
        <f t="shared" ref="U117:U119" si="136">H117/1000000</f>
        <v>0</v>
      </c>
      <c r="V117" s="27">
        <f t="shared" ref="V117:V119" si="137">I117/1000000</f>
        <v>199.33371127000001</v>
      </c>
      <c r="W117" s="27">
        <f t="shared" ref="W117:W118" si="138">K117/1000000</f>
        <v>199.33371127000001</v>
      </c>
      <c r="X117" s="27">
        <f t="shared" ref="X117:X119" si="139">L117/1000000</f>
        <v>0</v>
      </c>
      <c r="Y117" s="27">
        <f t="shared" ref="Y117:Y119" si="140">M117/1000000</f>
        <v>0</v>
      </c>
      <c r="Z117" s="27">
        <f t="shared" ref="Z117:Z119" si="141">N117/1000000</f>
        <v>0</v>
      </c>
      <c r="AA117" s="27">
        <f t="shared" ref="AA117:AA118" si="142">O117/1000000</f>
        <v>0</v>
      </c>
      <c r="AB117" s="27">
        <f t="shared" ref="AB117:AB119" si="143">V117/P117%</f>
        <v>100</v>
      </c>
      <c r="AC117" s="27">
        <f t="shared" ref="AC117:AC119" si="144">W117/Q117%</f>
        <v>100</v>
      </c>
      <c r="AD117" s="43" t="s">
        <v>31</v>
      </c>
      <c r="AE117" s="43" t="s">
        <v>31</v>
      </c>
      <c r="AF117" s="43" t="s">
        <v>31</v>
      </c>
      <c r="AG117" s="40" t="s">
        <v>31</v>
      </c>
      <c r="AH117" s="61"/>
    </row>
    <row r="118" spans="1:35" s="58" customFormat="1" hidden="1" x14ac:dyDescent="0.25">
      <c r="A118" s="248" t="s">
        <v>74</v>
      </c>
      <c r="B118" s="350"/>
      <c r="C118" s="350"/>
      <c r="D118" s="343"/>
      <c r="E118" s="301">
        <f>F118+G118+H118</f>
        <v>0</v>
      </c>
      <c r="F118" s="350"/>
      <c r="G118" s="350"/>
      <c r="H118" s="350"/>
      <c r="I118" s="343"/>
      <c r="J118" s="343"/>
      <c r="K118" s="343"/>
      <c r="L118" s="301">
        <f>M118+N118+O118</f>
        <v>0</v>
      </c>
      <c r="M118" s="343"/>
      <c r="N118" s="343"/>
      <c r="O118" s="343"/>
      <c r="P118" s="49">
        <f t="shared" si="131"/>
        <v>0</v>
      </c>
      <c r="Q118" s="49">
        <f t="shared" si="132"/>
        <v>0</v>
      </c>
      <c r="R118" s="49">
        <f t="shared" si="133"/>
        <v>0</v>
      </c>
      <c r="S118" s="49">
        <f t="shared" si="134"/>
        <v>0</v>
      </c>
      <c r="T118" s="49">
        <f t="shared" si="135"/>
        <v>0</v>
      </c>
      <c r="U118" s="49">
        <f t="shared" si="136"/>
        <v>0</v>
      </c>
      <c r="V118" s="49">
        <f t="shared" si="137"/>
        <v>0</v>
      </c>
      <c r="W118" s="49">
        <f t="shared" si="138"/>
        <v>0</v>
      </c>
      <c r="X118" s="49">
        <f t="shared" si="139"/>
        <v>0</v>
      </c>
      <c r="Y118" s="49">
        <f t="shared" si="140"/>
        <v>0</v>
      </c>
      <c r="Z118" s="49">
        <f t="shared" si="141"/>
        <v>0</v>
      </c>
      <c r="AA118" s="49">
        <f t="shared" si="142"/>
        <v>0</v>
      </c>
      <c r="AB118" s="49" t="e">
        <f t="shared" si="143"/>
        <v>#DIV/0!</v>
      </c>
      <c r="AC118" s="49" t="e">
        <f t="shared" si="144"/>
        <v>#DIV/0!</v>
      </c>
      <c r="AD118" s="50" t="e">
        <f t="shared" ref="AD118:AF120" si="145">X118/R118%</f>
        <v>#DIV/0!</v>
      </c>
      <c r="AE118" s="50" t="e">
        <f t="shared" si="145"/>
        <v>#DIV/0!</v>
      </c>
      <c r="AF118" s="50" t="e">
        <f t="shared" si="145"/>
        <v>#DIV/0!</v>
      </c>
      <c r="AG118" s="55" t="e">
        <f t="shared" ref="AG118" si="146">AA118/U118%</f>
        <v>#DIV/0!</v>
      </c>
      <c r="AH118" s="56"/>
    </row>
    <row r="119" spans="1:35" ht="39.6" hidden="1" x14ac:dyDescent="0.25">
      <c r="A119" s="85" t="s">
        <v>498</v>
      </c>
      <c r="B119" s="89">
        <v>160794800</v>
      </c>
      <c r="C119" s="89">
        <v>0</v>
      </c>
      <c r="D119" s="300">
        <v>160794800</v>
      </c>
      <c r="E119" s="151">
        <f>F119+G119+H119</f>
        <v>0</v>
      </c>
      <c r="F119" s="300">
        <v>0</v>
      </c>
      <c r="G119" s="300">
        <v>0</v>
      </c>
      <c r="H119" s="300">
        <v>0</v>
      </c>
      <c r="I119" s="300">
        <v>160794800</v>
      </c>
      <c r="J119" s="300">
        <v>0</v>
      </c>
      <c r="K119" s="300">
        <v>160794800</v>
      </c>
      <c r="L119" s="151">
        <f>M119+N119+O119</f>
        <v>0</v>
      </c>
      <c r="M119" s="300">
        <v>0</v>
      </c>
      <c r="N119" s="300">
        <v>0</v>
      </c>
      <c r="O119" s="300">
        <v>0</v>
      </c>
      <c r="P119" s="27">
        <f t="shared" si="131"/>
        <v>160.79480000000001</v>
      </c>
      <c r="Q119" s="27">
        <f t="shared" si="132"/>
        <v>160.79480000000001</v>
      </c>
      <c r="R119" s="27">
        <f>E119/1000000</f>
        <v>0</v>
      </c>
      <c r="S119" s="27">
        <f>F119/1000000</f>
        <v>0</v>
      </c>
      <c r="T119" s="27">
        <f t="shared" si="135"/>
        <v>0</v>
      </c>
      <c r="U119" s="27">
        <f t="shared" si="136"/>
        <v>0</v>
      </c>
      <c r="V119" s="27">
        <f t="shared" si="137"/>
        <v>160.79480000000001</v>
      </c>
      <c r="W119" s="27">
        <f>K119/1000000</f>
        <v>160.79480000000001</v>
      </c>
      <c r="X119" s="27">
        <f t="shared" si="139"/>
        <v>0</v>
      </c>
      <c r="Y119" s="27">
        <f t="shared" si="140"/>
        <v>0</v>
      </c>
      <c r="Z119" s="27">
        <f t="shared" si="141"/>
        <v>0</v>
      </c>
      <c r="AA119" s="27">
        <f>O119/1000000</f>
        <v>0</v>
      </c>
      <c r="AB119" s="27">
        <f t="shared" si="143"/>
        <v>100</v>
      </c>
      <c r="AC119" s="27">
        <f t="shared" si="144"/>
        <v>100</v>
      </c>
      <c r="AD119" s="43" t="s">
        <v>31</v>
      </c>
      <c r="AE119" s="43" t="s">
        <v>31</v>
      </c>
      <c r="AF119" s="43" t="s">
        <v>31</v>
      </c>
      <c r="AG119" s="40" t="s">
        <v>31</v>
      </c>
      <c r="AH119" s="61"/>
    </row>
    <row r="120" spans="1:35" ht="13.95" customHeight="1" x14ac:dyDescent="0.25">
      <c r="A120" s="85" t="s">
        <v>92</v>
      </c>
      <c r="B120" s="300">
        <v>7105130307</v>
      </c>
      <c r="C120" s="300">
        <v>0</v>
      </c>
      <c r="D120" s="300">
        <v>7103207534.3699999</v>
      </c>
      <c r="E120" s="151">
        <f>F120+G120+H120-E121</f>
        <v>1922772.63</v>
      </c>
      <c r="F120" s="300">
        <v>1007772.63</v>
      </c>
      <c r="G120" s="300">
        <v>915000</v>
      </c>
      <c r="H120" s="300">
        <v>0</v>
      </c>
      <c r="I120" s="300">
        <v>7076079025.1499996</v>
      </c>
      <c r="J120" s="300">
        <v>0</v>
      </c>
      <c r="K120" s="300">
        <v>7074456326.9200001</v>
      </c>
      <c r="L120" s="151">
        <f>M120+N120+O120-L121</f>
        <v>1622698.23</v>
      </c>
      <c r="M120" s="89">
        <v>1007772.63</v>
      </c>
      <c r="N120" s="89">
        <v>614925.6</v>
      </c>
      <c r="O120" s="89">
        <v>0</v>
      </c>
      <c r="P120" s="27">
        <f t="shared" ref="P120:P143" si="147">B120/1000000</f>
        <v>7105.1303070000004</v>
      </c>
      <c r="Q120" s="27">
        <f t="shared" ref="Q120:V143" si="148">D120/1000000</f>
        <v>7103.2075343699998</v>
      </c>
      <c r="R120" s="27">
        <f>E120/1000000</f>
        <v>1.9227726299999999</v>
      </c>
      <c r="S120" s="27">
        <f>F120/1000000</f>
        <v>1.0077726300000001</v>
      </c>
      <c r="T120" s="27">
        <f t="shared" ref="T120:V140" si="149">G120/1000000</f>
        <v>0.91500000000000004</v>
      </c>
      <c r="U120" s="27">
        <f t="shared" si="113"/>
        <v>0</v>
      </c>
      <c r="V120" s="27">
        <f t="shared" ref="V120:V131" si="150">I120/1000000</f>
        <v>7076.0790251499993</v>
      </c>
      <c r="W120" s="27">
        <f>K120/1000000</f>
        <v>7074.4563269199998</v>
      </c>
      <c r="X120" s="27">
        <f t="shared" si="115"/>
        <v>1.6226982299999999</v>
      </c>
      <c r="Y120" s="27">
        <f t="shared" si="115"/>
        <v>1.0077726300000001</v>
      </c>
      <c r="Z120" s="27">
        <f t="shared" ref="Z120:AA141" si="151">N120/1000000</f>
        <v>0.61492559999999996</v>
      </c>
      <c r="AA120" s="27">
        <f>O120/1000000</f>
        <v>0</v>
      </c>
      <c r="AB120" s="27">
        <f t="shared" si="74"/>
        <v>99.591122462294891</v>
      </c>
      <c r="AC120" s="27">
        <f t="shared" si="55"/>
        <v>99.59523627444527</v>
      </c>
      <c r="AD120" s="27">
        <f t="shared" si="145"/>
        <v>84.393661771646919</v>
      </c>
      <c r="AE120" s="27">
        <f t="shared" si="145"/>
        <v>100</v>
      </c>
      <c r="AF120" s="27">
        <f t="shared" si="145"/>
        <v>67.204983606557377</v>
      </c>
      <c r="AG120" s="91" t="s">
        <v>31</v>
      </c>
      <c r="AH120" s="92"/>
    </row>
    <row r="121" spans="1:35" s="217" customFormat="1" hidden="1" x14ac:dyDescent="0.25">
      <c r="A121" s="248" t="s">
        <v>74</v>
      </c>
      <c r="B121" s="347">
        <v>337944500</v>
      </c>
      <c r="C121" s="347">
        <v>0</v>
      </c>
      <c r="D121" s="347">
        <v>337944500</v>
      </c>
      <c r="E121" s="308">
        <f>F121+G121+H121</f>
        <v>0</v>
      </c>
      <c r="F121" s="347">
        <v>0</v>
      </c>
      <c r="G121" s="347">
        <v>0</v>
      </c>
      <c r="H121" s="347">
        <v>0</v>
      </c>
      <c r="I121" s="347">
        <v>337944500</v>
      </c>
      <c r="J121" s="347">
        <v>0</v>
      </c>
      <c r="K121" s="347">
        <v>337944500</v>
      </c>
      <c r="L121" s="308">
        <f>M121+N121+O121</f>
        <v>0</v>
      </c>
      <c r="M121" s="252">
        <v>0</v>
      </c>
      <c r="N121" s="252">
        <v>0</v>
      </c>
      <c r="O121" s="252">
        <v>0</v>
      </c>
      <c r="P121" s="215">
        <f t="shared" si="147"/>
        <v>337.94450000000001</v>
      </c>
      <c r="Q121" s="215">
        <f t="shared" si="148"/>
        <v>337.94450000000001</v>
      </c>
      <c r="R121" s="215"/>
      <c r="S121" s="215"/>
      <c r="T121" s="215">
        <f t="shared" si="149"/>
        <v>0</v>
      </c>
      <c r="U121" s="215"/>
      <c r="V121" s="215">
        <f t="shared" si="150"/>
        <v>337.94450000000001</v>
      </c>
      <c r="W121" s="215">
        <f>K121/1000000</f>
        <v>337.94450000000001</v>
      </c>
      <c r="X121" s="215"/>
      <c r="Y121" s="215">
        <f t="shared" si="115"/>
        <v>0</v>
      </c>
      <c r="Z121" s="215">
        <f t="shared" si="151"/>
        <v>0</v>
      </c>
      <c r="AA121" s="215">
        <f>O121/1000000</f>
        <v>0</v>
      </c>
      <c r="AB121" s="215">
        <f t="shared" si="74"/>
        <v>100</v>
      </c>
      <c r="AC121" s="215">
        <f t="shared" si="55"/>
        <v>100</v>
      </c>
      <c r="AD121" s="215"/>
      <c r="AE121" s="215"/>
      <c r="AF121" s="215"/>
      <c r="AG121" s="216"/>
      <c r="AH121" s="249"/>
    </row>
    <row r="122" spans="1:35" s="35" customFormat="1" x14ac:dyDescent="0.25">
      <c r="A122" s="84" t="s">
        <v>93</v>
      </c>
      <c r="B122" s="336">
        <v>28045346920.619999</v>
      </c>
      <c r="C122" s="336">
        <v>1108526195.3199999</v>
      </c>
      <c r="D122" s="336">
        <v>27451878452.41</v>
      </c>
      <c r="E122" s="151">
        <f>F122+G122+H122-E123</f>
        <v>1698113287.0699999</v>
      </c>
      <c r="F122" s="336">
        <v>1086632607.5699999</v>
      </c>
      <c r="G122" s="336">
        <v>603781389.70000005</v>
      </c>
      <c r="H122" s="336">
        <v>11580666.260000002</v>
      </c>
      <c r="I122" s="336">
        <v>27432668896.919998</v>
      </c>
      <c r="J122" s="336">
        <v>1180662049.1199999</v>
      </c>
      <c r="K122" s="336">
        <v>26988543569.66</v>
      </c>
      <c r="L122" s="151">
        <f>M122+N122+O122-L123</f>
        <v>1620905999.9200001</v>
      </c>
      <c r="M122" s="336">
        <v>1050924708.58</v>
      </c>
      <c r="N122" s="336">
        <v>562821446.47000003</v>
      </c>
      <c r="O122" s="336">
        <v>11041221.33</v>
      </c>
      <c r="P122" s="31">
        <f t="shared" si="147"/>
        <v>28045.346920619999</v>
      </c>
      <c r="Q122" s="31">
        <f t="shared" si="148"/>
        <v>27451.878452410001</v>
      </c>
      <c r="R122" s="31">
        <f>E122/1000000</f>
        <v>1698.1132870699998</v>
      </c>
      <c r="S122" s="31">
        <f>F122/1000000</f>
        <v>1086.6326075699999</v>
      </c>
      <c r="T122" s="31">
        <f t="shared" si="149"/>
        <v>603.78138970000009</v>
      </c>
      <c r="U122" s="31">
        <f>H122/1000000</f>
        <v>11.580666260000001</v>
      </c>
      <c r="V122" s="31">
        <f t="shared" si="150"/>
        <v>27432.668896919997</v>
      </c>
      <c r="W122" s="31">
        <f>K122/1000000</f>
        <v>26988.54356966</v>
      </c>
      <c r="X122" s="31">
        <f>L122/1000000</f>
        <v>1620.9059999200001</v>
      </c>
      <c r="Y122" s="31">
        <f>M122/1000000</f>
        <v>1050.92470858</v>
      </c>
      <c r="Z122" s="31">
        <f t="shared" si="151"/>
        <v>562.82144647000007</v>
      </c>
      <c r="AA122" s="31">
        <f t="shared" si="151"/>
        <v>11.041221330000001</v>
      </c>
      <c r="AB122" s="31">
        <f t="shared" si="74"/>
        <v>97.815402228989583</v>
      </c>
      <c r="AC122" s="31">
        <f t="shared" si="55"/>
        <v>98.312192429551857</v>
      </c>
      <c r="AD122" s="31">
        <f>X122/R122%</f>
        <v>95.453348858531314</v>
      </c>
      <c r="AE122" s="31">
        <f>Y122/S122%</f>
        <v>96.713894029937848</v>
      </c>
      <c r="AF122" s="31">
        <f>Z122/T122%</f>
        <v>93.216097095945315</v>
      </c>
      <c r="AG122" s="32">
        <f>AA122/U122%</f>
        <v>95.341848923984102</v>
      </c>
      <c r="AH122" s="33"/>
    </row>
    <row r="123" spans="1:35" s="217" customFormat="1" hidden="1" x14ac:dyDescent="0.25">
      <c r="A123" s="248" t="s">
        <v>68</v>
      </c>
      <c r="B123" s="347">
        <v>159096355.84999999</v>
      </c>
      <c r="C123" s="347">
        <v>1108526195.3199999</v>
      </c>
      <c r="D123" s="347">
        <v>1263741174.71</v>
      </c>
      <c r="E123" s="308">
        <f>F123+G123+H123</f>
        <v>3881376.46</v>
      </c>
      <c r="F123" s="347">
        <v>0</v>
      </c>
      <c r="G123" s="347">
        <v>3017800</v>
      </c>
      <c r="H123" s="347">
        <v>863576.46</v>
      </c>
      <c r="I123" s="347">
        <v>5714602.8099999996</v>
      </c>
      <c r="J123" s="347">
        <v>1180662049.1199999</v>
      </c>
      <c r="K123" s="347">
        <v>1182495275.47</v>
      </c>
      <c r="L123" s="308">
        <f>M123+N123+O123</f>
        <v>3881376.46</v>
      </c>
      <c r="M123" s="347">
        <v>0</v>
      </c>
      <c r="N123" s="347">
        <v>3017800</v>
      </c>
      <c r="O123" s="347">
        <v>863576.46</v>
      </c>
      <c r="P123" s="215">
        <f t="shared" si="147"/>
        <v>159.09635584999998</v>
      </c>
      <c r="Q123" s="215">
        <f t="shared" si="148"/>
        <v>1263.74117471</v>
      </c>
      <c r="R123" s="215">
        <f>E123/1000000</f>
        <v>3.8813764599999998</v>
      </c>
      <c r="S123" s="215">
        <f>F123/1000000</f>
        <v>0</v>
      </c>
      <c r="T123" s="215">
        <f t="shared" si="149"/>
        <v>3.0177999999999998</v>
      </c>
      <c r="U123" s="215">
        <f>H123/1000000</f>
        <v>0.86357645999999999</v>
      </c>
      <c r="V123" s="215">
        <f t="shared" si="150"/>
        <v>5.7146028099999997</v>
      </c>
      <c r="W123" s="215">
        <f>K123/1000000</f>
        <v>1182.49527547</v>
      </c>
      <c r="X123" s="215">
        <f>L123/1000000</f>
        <v>3.8813764599999998</v>
      </c>
      <c r="Y123" s="215">
        <f>M123/1000000</f>
        <v>0</v>
      </c>
      <c r="Z123" s="215">
        <f t="shared" si="151"/>
        <v>3.0177999999999998</v>
      </c>
      <c r="AA123" s="215">
        <f>O123/1000000</f>
        <v>0.86357645999999999</v>
      </c>
      <c r="AB123" s="215">
        <f t="shared" si="74"/>
        <v>3.5919130764930092</v>
      </c>
      <c r="AC123" s="215">
        <f t="shared" si="55"/>
        <v>93.571001652403694</v>
      </c>
      <c r="AD123" s="215">
        <f>X123/R123%</f>
        <v>100.00000000000001</v>
      </c>
      <c r="AE123" s="215" t="e">
        <f>Y123/S123%</f>
        <v>#DIV/0!</v>
      </c>
      <c r="AF123" s="215">
        <f>Z123/T123%</f>
        <v>100</v>
      </c>
      <c r="AG123" s="216">
        <f t="shared" ref="AG123:AG125" si="152">AA123/U123%</f>
        <v>100</v>
      </c>
      <c r="AH123" s="249"/>
    </row>
    <row r="124" spans="1:35" hidden="1" x14ac:dyDescent="0.25">
      <c r="A124" s="85" t="s">
        <v>499</v>
      </c>
      <c r="B124" s="300">
        <v>211507174.72</v>
      </c>
      <c r="C124" s="300">
        <v>0</v>
      </c>
      <c r="D124" s="300">
        <v>73399770</v>
      </c>
      <c r="E124" s="302">
        <f>F124+G124+H124-E125</f>
        <v>138107404.72</v>
      </c>
      <c r="F124" s="300">
        <v>101300549.40000001</v>
      </c>
      <c r="G124" s="300">
        <v>31161875.350000001</v>
      </c>
      <c r="H124" s="300">
        <v>5644979.9699999997</v>
      </c>
      <c r="I124" s="300">
        <v>209494085.13999999</v>
      </c>
      <c r="J124" s="300">
        <v>0</v>
      </c>
      <c r="K124" s="300">
        <v>73078807.469999999</v>
      </c>
      <c r="L124" s="302">
        <f>M124+N124+O124-L125</f>
        <v>136415277.67000002</v>
      </c>
      <c r="M124" s="300">
        <v>100426917.36</v>
      </c>
      <c r="N124" s="300">
        <v>30581227.449999999</v>
      </c>
      <c r="O124" s="300">
        <v>5407132.8599999994</v>
      </c>
      <c r="P124" s="27">
        <f t="shared" ref="P124:P125" si="153">B124/1000000</f>
        <v>211.50717471999999</v>
      </c>
      <c r="Q124" s="27">
        <f t="shared" ref="Q124:Q125" si="154">D124/1000000</f>
        <v>73.399770000000004</v>
      </c>
      <c r="R124" s="27">
        <f t="shared" ref="R124:R125" si="155">E124/1000000</f>
        <v>138.10740472000001</v>
      </c>
      <c r="S124" s="27">
        <f t="shared" ref="S124:S125" si="156">F124/1000000</f>
        <v>101.30054940000001</v>
      </c>
      <c r="T124" s="27">
        <f t="shared" ref="T124:T125" si="157">G124/1000000</f>
        <v>31.161875350000003</v>
      </c>
      <c r="U124" s="27">
        <f t="shared" ref="U124:U125" si="158">H124/1000000</f>
        <v>5.6449799699999996</v>
      </c>
      <c r="V124" s="27">
        <f t="shared" ref="V124:V125" si="159">I124/1000000</f>
        <v>209.49408513999998</v>
      </c>
      <c r="W124" s="27">
        <f t="shared" ref="W124:W125" si="160">K124/1000000</f>
        <v>73.078807470000001</v>
      </c>
      <c r="X124" s="27">
        <f t="shared" ref="X124:X125" si="161">L124/1000000</f>
        <v>136.41527767000002</v>
      </c>
      <c r="Y124" s="27">
        <f t="shared" ref="Y124:Y125" si="162">M124/1000000</f>
        <v>100.42691736</v>
      </c>
      <c r="Z124" s="27">
        <f t="shared" ref="Z124:Z125" si="163">N124/1000000</f>
        <v>30.58122745</v>
      </c>
      <c r="AA124" s="27">
        <f t="shared" ref="AA124:AA125" si="164">O124/1000000</f>
        <v>5.407132859999999</v>
      </c>
      <c r="AB124" s="27">
        <f t="shared" ref="AB124:AB125" si="165">V124/P124%</f>
        <v>99.048216883108097</v>
      </c>
      <c r="AC124" s="27">
        <f t="shared" ref="AC124:AC125" si="166">W124/Q124%</f>
        <v>99.562719978550334</v>
      </c>
      <c r="AD124" s="27">
        <f t="shared" ref="AD124:AD125" si="167">X124/R124%</f>
        <v>98.774774565179456</v>
      </c>
      <c r="AE124" s="27">
        <f t="shared" ref="AE124:AE125" si="168">Y124/S124%</f>
        <v>99.137584104751156</v>
      </c>
      <c r="AF124" s="27">
        <f t="shared" ref="AF124:AF125" si="169">Z124/T124%</f>
        <v>98.136672156350173</v>
      </c>
      <c r="AG124" s="29">
        <f t="shared" si="152"/>
        <v>95.786573003553087</v>
      </c>
      <c r="AH124" s="26"/>
    </row>
    <row r="125" spans="1:35" s="217" customFormat="1" hidden="1" x14ac:dyDescent="0.25">
      <c r="A125" s="248" t="s">
        <v>68</v>
      </c>
      <c r="B125" s="347">
        <v>5910000</v>
      </c>
      <c r="C125" s="347">
        <v>0</v>
      </c>
      <c r="D125" s="347">
        <v>5910000</v>
      </c>
      <c r="E125" s="308">
        <f>F125+G125+H125</f>
        <v>0</v>
      </c>
      <c r="F125" s="347">
        <v>0</v>
      </c>
      <c r="G125" s="347">
        <v>0</v>
      </c>
      <c r="H125" s="347">
        <v>0</v>
      </c>
      <c r="I125" s="347">
        <v>5714602.8099999996</v>
      </c>
      <c r="J125" s="347">
        <v>0</v>
      </c>
      <c r="K125" s="347">
        <v>5714602.8099999996</v>
      </c>
      <c r="L125" s="308">
        <f>M125+N125+O125</f>
        <v>0</v>
      </c>
      <c r="M125" s="347">
        <v>0</v>
      </c>
      <c r="N125" s="347">
        <v>0</v>
      </c>
      <c r="O125" s="347">
        <v>0</v>
      </c>
      <c r="P125" s="215">
        <f t="shared" si="153"/>
        <v>5.91</v>
      </c>
      <c r="Q125" s="215">
        <f t="shared" si="154"/>
        <v>5.91</v>
      </c>
      <c r="R125" s="215">
        <f t="shared" si="155"/>
        <v>0</v>
      </c>
      <c r="S125" s="215">
        <f t="shared" si="156"/>
        <v>0</v>
      </c>
      <c r="T125" s="215">
        <f t="shared" si="157"/>
        <v>0</v>
      </c>
      <c r="U125" s="215">
        <f t="shared" si="158"/>
        <v>0</v>
      </c>
      <c r="V125" s="215">
        <f t="shared" si="159"/>
        <v>5.7146028099999997</v>
      </c>
      <c r="W125" s="215">
        <f t="shared" si="160"/>
        <v>5.7146028099999997</v>
      </c>
      <c r="X125" s="215">
        <f t="shared" si="161"/>
        <v>0</v>
      </c>
      <c r="Y125" s="215">
        <f t="shared" si="162"/>
        <v>0</v>
      </c>
      <c r="Z125" s="215">
        <f t="shared" si="163"/>
        <v>0</v>
      </c>
      <c r="AA125" s="215">
        <f t="shared" si="164"/>
        <v>0</v>
      </c>
      <c r="AB125" s="215">
        <f t="shared" si="165"/>
        <v>96.693786971235184</v>
      </c>
      <c r="AC125" s="215">
        <f t="shared" si="166"/>
        <v>96.693786971235184</v>
      </c>
      <c r="AD125" s="215" t="e">
        <f t="shared" si="167"/>
        <v>#DIV/0!</v>
      </c>
      <c r="AE125" s="215" t="e">
        <f t="shared" si="168"/>
        <v>#DIV/0!</v>
      </c>
      <c r="AF125" s="215" t="e">
        <f t="shared" si="169"/>
        <v>#DIV/0!</v>
      </c>
      <c r="AG125" s="216" t="e">
        <f t="shared" si="152"/>
        <v>#DIV/0!</v>
      </c>
      <c r="AH125" s="249"/>
    </row>
    <row r="126" spans="1:35" x14ac:dyDescent="0.25">
      <c r="A126" s="85" t="s">
        <v>94</v>
      </c>
      <c r="B126" s="300">
        <v>3406010463.8899999</v>
      </c>
      <c r="C126" s="300">
        <v>0</v>
      </c>
      <c r="D126" s="300">
        <v>3405981463.8899999</v>
      </c>
      <c r="E126" s="302">
        <f>F126+G126+H126</f>
        <v>29000</v>
      </c>
      <c r="F126" s="300">
        <v>0</v>
      </c>
      <c r="G126" s="300">
        <v>29000</v>
      </c>
      <c r="H126" s="300">
        <v>0</v>
      </c>
      <c r="I126" s="300">
        <v>3403292523.04</v>
      </c>
      <c r="J126" s="300">
        <v>0</v>
      </c>
      <c r="K126" s="300">
        <v>3403263523.04</v>
      </c>
      <c r="L126" s="302">
        <f>M126+N126+O126</f>
        <v>29000</v>
      </c>
      <c r="M126" s="300">
        <v>0</v>
      </c>
      <c r="N126" s="300">
        <v>29000</v>
      </c>
      <c r="O126" s="300">
        <v>0</v>
      </c>
      <c r="P126" s="27">
        <f t="shared" si="147"/>
        <v>3406.0104638899998</v>
      </c>
      <c r="Q126" s="27">
        <f t="shared" si="148"/>
        <v>3405.9814638899998</v>
      </c>
      <c r="R126" s="27">
        <f t="shared" si="148"/>
        <v>2.9000000000000001E-2</v>
      </c>
      <c r="S126" s="27">
        <f t="shared" si="148"/>
        <v>0</v>
      </c>
      <c r="T126" s="27">
        <f t="shared" si="149"/>
        <v>2.9000000000000001E-2</v>
      </c>
      <c r="U126" s="27">
        <f t="shared" si="149"/>
        <v>0</v>
      </c>
      <c r="V126" s="27">
        <f t="shared" si="150"/>
        <v>3403.2925230400001</v>
      </c>
      <c r="W126" s="27">
        <f t="shared" ref="W126:Y130" si="170">K126/1000000</f>
        <v>3403.2635230400001</v>
      </c>
      <c r="X126" s="27">
        <f t="shared" si="170"/>
        <v>2.9000000000000001E-2</v>
      </c>
      <c r="Y126" s="27">
        <f t="shared" si="170"/>
        <v>0</v>
      </c>
      <c r="Z126" s="27">
        <f t="shared" si="151"/>
        <v>2.9000000000000001E-2</v>
      </c>
      <c r="AA126" s="27">
        <f t="shared" si="151"/>
        <v>0</v>
      </c>
      <c r="AB126" s="27">
        <f t="shared" si="74"/>
        <v>99.920201629477802</v>
      </c>
      <c r="AC126" s="27">
        <f t="shared" si="55"/>
        <v>99.920200950039941</v>
      </c>
      <c r="AD126" s="27">
        <f t="shared" si="55"/>
        <v>100</v>
      </c>
      <c r="AE126" s="43" t="s">
        <v>31</v>
      </c>
      <c r="AF126" s="27">
        <f t="shared" ref="AF126:AG141" si="171">Z126/T126%</f>
        <v>100</v>
      </c>
      <c r="AG126" s="40" t="s">
        <v>31</v>
      </c>
      <c r="AH126" s="26"/>
    </row>
    <row r="127" spans="1:35" x14ac:dyDescent="0.25">
      <c r="A127" s="85" t="s">
        <v>95</v>
      </c>
      <c r="B127" s="300">
        <v>17527188280.349998</v>
      </c>
      <c r="C127" s="300">
        <v>49805984.740000002</v>
      </c>
      <c r="D127" s="300">
        <v>17388115695.889999</v>
      </c>
      <c r="E127" s="302">
        <f>F127+G127+H127-E128</f>
        <v>185082192.73999998</v>
      </c>
      <c r="F127" s="300">
        <v>129023839.09999999</v>
      </c>
      <c r="G127" s="300">
        <v>55096018.740000002</v>
      </c>
      <c r="H127" s="300">
        <v>4758711.3599999994</v>
      </c>
      <c r="I127" s="300">
        <v>17247314818.77</v>
      </c>
      <c r="J127" s="300">
        <v>48796120.810000002</v>
      </c>
      <c r="K127" s="300">
        <v>17111562067.9</v>
      </c>
      <c r="L127" s="302">
        <f>M127+N127+O127-L128</f>
        <v>180752495.22</v>
      </c>
      <c r="M127" s="300">
        <v>127130691.81999999</v>
      </c>
      <c r="N127" s="300">
        <v>52785656.369999997</v>
      </c>
      <c r="O127" s="300">
        <v>4632523.49</v>
      </c>
      <c r="P127" s="27">
        <f t="shared" si="147"/>
        <v>17527.188280349998</v>
      </c>
      <c r="Q127" s="27">
        <f t="shared" si="148"/>
        <v>17388.115695889999</v>
      </c>
      <c r="R127" s="27">
        <f t="shared" si="148"/>
        <v>185.08219273999998</v>
      </c>
      <c r="S127" s="27">
        <f t="shared" si="148"/>
        <v>129.0238391</v>
      </c>
      <c r="T127" s="27">
        <f t="shared" si="149"/>
        <v>55.096018740000005</v>
      </c>
      <c r="U127" s="27">
        <f t="shared" si="149"/>
        <v>4.7587113599999995</v>
      </c>
      <c r="V127" s="27">
        <f t="shared" si="150"/>
        <v>17247.314818769999</v>
      </c>
      <c r="W127" s="27">
        <f t="shared" si="170"/>
        <v>17111.562067899999</v>
      </c>
      <c r="X127" s="27">
        <f t="shared" si="170"/>
        <v>180.75249521999999</v>
      </c>
      <c r="Y127" s="27">
        <f t="shared" si="170"/>
        <v>127.13069182</v>
      </c>
      <c r="Z127" s="27">
        <f t="shared" si="151"/>
        <v>52.785656369999998</v>
      </c>
      <c r="AA127" s="27">
        <f t="shared" si="151"/>
        <v>4.6325234900000005</v>
      </c>
      <c r="AB127" s="27">
        <f t="shared" si="74"/>
        <v>98.403203884711104</v>
      </c>
      <c r="AC127" s="27">
        <f t="shared" si="55"/>
        <v>98.409525029469592</v>
      </c>
      <c r="AD127" s="27">
        <f t="shared" si="55"/>
        <v>97.660662295004116</v>
      </c>
      <c r="AE127" s="27">
        <f t="shared" si="55"/>
        <v>98.532715122100257</v>
      </c>
      <c r="AF127" s="27">
        <f t="shared" si="171"/>
        <v>95.806661855364382</v>
      </c>
      <c r="AG127" s="29">
        <f t="shared" si="171"/>
        <v>97.348276445999886</v>
      </c>
      <c r="AH127" s="26"/>
    </row>
    <row r="128" spans="1:35" s="217" customFormat="1" hidden="1" x14ac:dyDescent="0.25">
      <c r="A128" s="248" t="s">
        <v>68</v>
      </c>
      <c r="B128" s="347">
        <v>185625</v>
      </c>
      <c r="C128" s="347">
        <v>49805984.740000002</v>
      </c>
      <c r="D128" s="347">
        <v>46195233.280000001</v>
      </c>
      <c r="E128" s="308">
        <f>F128+G128+H128</f>
        <v>3796376.46</v>
      </c>
      <c r="F128" s="347">
        <v>0</v>
      </c>
      <c r="G128" s="347">
        <v>2932800</v>
      </c>
      <c r="H128" s="347">
        <v>863576.46</v>
      </c>
      <c r="I128" s="347">
        <v>0</v>
      </c>
      <c r="J128" s="347">
        <v>48796120.810000002</v>
      </c>
      <c r="K128" s="347">
        <v>44999744.350000001</v>
      </c>
      <c r="L128" s="308">
        <f>M128+N128+O128</f>
        <v>3796376.46</v>
      </c>
      <c r="M128" s="347">
        <v>0</v>
      </c>
      <c r="N128" s="347">
        <v>2932800</v>
      </c>
      <c r="O128" s="347">
        <v>863576.46</v>
      </c>
      <c r="P128" s="215">
        <f t="shared" si="147"/>
        <v>0.18562500000000001</v>
      </c>
      <c r="Q128" s="215">
        <f t="shared" si="148"/>
        <v>46.195233280000004</v>
      </c>
      <c r="R128" s="215">
        <f t="shared" si="148"/>
        <v>3.7963764599999998</v>
      </c>
      <c r="S128" s="215">
        <f t="shared" si="148"/>
        <v>0</v>
      </c>
      <c r="T128" s="215">
        <f t="shared" si="149"/>
        <v>2.9327999999999999</v>
      </c>
      <c r="U128" s="215">
        <f t="shared" si="149"/>
        <v>0.86357645999999999</v>
      </c>
      <c r="V128" s="215">
        <f t="shared" si="150"/>
        <v>0</v>
      </c>
      <c r="W128" s="215">
        <f t="shared" si="170"/>
        <v>44.99974435</v>
      </c>
      <c r="X128" s="215">
        <f t="shared" si="170"/>
        <v>3.7963764599999998</v>
      </c>
      <c r="Y128" s="215">
        <f t="shared" si="170"/>
        <v>0</v>
      </c>
      <c r="Z128" s="215">
        <f t="shared" si="151"/>
        <v>2.9327999999999999</v>
      </c>
      <c r="AA128" s="215">
        <f t="shared" si="151"/>
        <v>0.86357645999999999</v>
      </c>
      <c r="AB128" s="215">
        <f t="shared" si="74"/>
        <v>0</v>
      </c>
      <c r="AC128" s="215">
        <f t="shared" si="55"/>
        <v>97.412094614277905</v>
      </c>
      <c r="AD128" s="215">
        <f t="shared" si="55"/>
        <v>100</v>
      </c>
      <c r="AE128" s="215" t="e">
        <f t="shared" si="55"/>
        <v>#DIV/0!</v>
      </c>
      <c r="AF128" s="215">
        <f t="shared" si="171"/>
        <v>100</v>
      </c>
      <c r="AG128" s="216">
        <f t="shared" si="171"/>
        <v>100</v>
      </c>
      <c r="AH128" s="249"/>
    </row>
    <row r="129" spans="1:34" x14ac:dyDescent="0.25">
      <c r="A129" s="85" t="s">
        <v>96</v>
      </c>
      <c r="B129" s="300">
        <v>6688741127.75</v>
      </c>
      <c r="C129" s="300">
        <v>1052585397.6799999</v>
      </c>
      <c r="D129" s="300">
        <v>6572134584.3299999</v>
      </c>
      <c r="E129" s="302">
        <f>F129+G129+H129-E130</f>
        <v>1169191941.0999999</v>
      </c>
      <c r="F129" s="300">
        <v>704951162.02999997</v>
      </c>
      <c r="G129" s="300">
        <v>464240779.06999999</v>
      </c>
      <c r="H129" s="300">
        <v>0</v>
      </c>
      <c r="I129" s="300">
        <v>6363240609.8100004</v>
      </c>
      <c r="J129" s="300">
        <v>1125769103.3699999</v>
      </c>
      <c r="K129" s="300">
        <v>6388813866.5100002</v>
      </c>
      <c r="L129" s="302">
        <f>M129+N129+O129-L130</f>
        <v>1100195846.6700001</v>
      </c>
      <c r="M129" s="300">
        <v>673001170.78999996</v>
      </c>
      <c r="N129" s="300">
        <v>427194675.88</v>
      </c>
      <c r="O129" s="300">
        <v>0</v>
      </c>
      <c r="P129" s="27">
        <f t="shared" si="147"/>
        <v>6688.7411277499996</v>
      </c>
      <c r="Q129" s="27">
        <f t="shared" si="148"/>
        <v>6572.1345843299996</v>
      </c>
      <c r="R129" s="27">
        <f t="shared" si="148"/>
        <v>1169.1919410999999</v>
      </c>
      <c r="S129" s="27">
        <f t="shared" si="148"/>
        <v>704.95116202999998</v>
      </c>
      <c r="T129" s="27">
        <f t="shared" si="149"/>
        <v>464.24077906999997</v>
      </c>
      <c r="U129" s="27">
        <f t="shared" si="149"/>
        <v>0</v>
      </c>
      <c r="V129" s="27">
        <f t="shared" si="150"/>
        <v>6363.24060981</v>
      </c>
      <c r="W129" s="27">
        <f t="shared" si="170"/>
        <v>6388.8138665100005</v>
      </c>
      <c r="X129" s="27">
        <f t="shared" si="170"/>
        <v>1100.19584667</v>
      </c>
      <c r="Y129" s="27">
        <f t="shared" si="170"/>
        <v>673.00117078999995</v>
      </c>
      <c r="Z129" s="27">
        <f t="shared" si="151"/>
        <v>427.19467587999998</v>
      </c>
      <c r="AA129" s="27">
        <f t="shared" si="151"/>
        <v>0</v>
      </c>
      <c r="AB129" s="27">
        <f t="shared" si="74"/>
        <v>95.133605685686135</v>
      </c>
      <c r="AC129" s="27">
        <f t="shared" si="55"/>
        <v>97.210636582867721</v>
      </c>
      <c r="AD129" s="27">
        <f t="shared" si="55"/>
        <v>94.098822271637715</v>
      </c>
      <c r="AE129" s="27">
        <f t="shared" si="55"/>
        <v>95.467772384686086</v>
      </c>
      <c r="AF129" s="27">
        <f t="shared" si="171"/>
        <v>92.020066986744808</v>
      </c>
      <c r="AG129" s="40" t="s">
        <v>31</v>
      </c>
      <c r="AH129" s="26"/>
    </row>
    <row r="130" spans="1:34" s="217" customFormat="1" hidden="1" x14ac:dyDescent="0.25">
      <c r="A130" s="248" t="s">
        <v>68</v>
      </c>
      <c r="B130" s="347">
        <v>152711077.75</v>
      </c>
      <c r="C130" s="347">
        <v>1052585397.6799999</v>
      </c>
      <c r="D130" s="347">
        <v>1205296475.4300001</v>
      </c>
      <c r="E130" s="308">
        <f>F130+G130+H130</f>
        <v>0</v>
      </c>
      <c r="F130" s="347">
        <v>0</v>
      </c>
      <c r="G130" s="347">
        <v>0</v>
      </c>
      <c r="H130" s="347">
        <v>0</v>
      </c>
      <c r="I130" s="347">
        <v>0</v>
      </c>
      <c r="J130" s="347">
        <v>1125769103.3699999</v>
      </c>
      <c r="K130" s="347">
        <v>1125769103.3699999</v>
      </c>
      <c r="L130" s="308">
        <f>M130+N130+O130</f>
        <v>0</v>
      </c>
      <c r="M130" s="347">
        <v>0</v>
      </c>
      <c r="N130" s="347">
        <v>0</v>
      </c>
      <c r="O130" s="347">
        <v>0</v>
      </c>
      <c r="P130" s="215">
        <f t="shared" si="147"/>
        <v>152.71107774999999</v>
      </c>
      <c r="Q130" s="215">
        <f t="shared" si="148"/>
        <v>1205.2964754300001</v>
      </c>
      <c r="R130" s="215">
        <f t="shared" si="148"/>
        <v>0</v>
      </c>
      <c r="S130" s="215">
        <f t="shared" si="148"/>
        <v>0</v>
      </c>
      <c r="T130" s="215">
        <f t="shared" si="149"/>
        <v>0</v>
      </c>
      <c r="U130" s="215">
        <f t="shared" si="149"/>
        <v>0</v>
      </c>
      <c r="V130" s="215">
        <f t="shared" si="150"/>
        <v>0</v>
      </c>
      <c r="W130" s="215">
        <f t="shared" si="170"/>
        <v>1125.7691033699998</v>
      </c>
      <c r="X130" s="215">
        <f t="shared" si="170"/>
        <v>0</v>
      </c>
      <c r="Y130" s="215">
        <f t="shared" si="170"/>
        <v>0</v>
      </c>
      <c r="Z130" s="215">
        <f t="shared" si="151"/>
        <v>0</v>
      </c>
      <c r="AA130" s="215">
        <f t="shared" si="151"/>
        <v>0</v>
      </c>
      <c r="AB130" s="215">
        <f t="shared" si="74"/>
        <v>0</v>
      </c>
      <c r="AC130" s="27">
        <f t="shared" si="55"/>
        <v>93.401841482061229</v>
      </c>
      <c r="AD130" s="215" t="e">
        <f t="shared" si="55"/>
        <v>#DIV/0!</v>
      </c>
      <c r="AE130" s="215" t="e">
        <f t="shared" si="55"/>
        <v>#DIV/0!</v>
      </c>
      <c r="AF130" s="215" t="e">
        <f t="shared" si="171"/>
        <v>#DIV/0!</v>
      </c>
      <c r="AG130" s="216" t="e">
        <f t="shared" si="171"/>
        <v>#DIV/0!</v>
      </c>
      <c r="AH130" s="249"/>
    </row>
    <row r="131" spans="1:34" s="35" customFormat="1" x14ac:dyDescent="0.25">
      <c r="A131" s="84" t="s">
        <v>97</v>
      </c>
      <c r="B131" s="336">
        <v>1984270948.9200001</v>
      </c>
      <c r="C131" s="336">
        <v>213334894.84</v>
      </c>
      <c r="D131" s="336">
        <v>1327198049.76</v>
      </c>
      <c r="E131" s="151">
        <f>F131+G131+H131-E132</f>
        <v>861908358.44000006</v>
      </c>
      <c r="F131" s="336">
        <v>717406015.24000001</v>
      </c>
      <c r="G131" s="336">
        <v>138154655.24000001</v>
      </c>
      <c r="H131" s="336">
        <v>14847123.52</v>
      </c>
      <c r="I131" s="336">
        <v>1656285793.8199999</v>
      </c>
      <c r="J131" s="336">
        <v>345107058.97000003</v>
      </c>
      <c r="K131" s="336">
        <v>1154421826.8099999</v>
      </c>
      <c r="L131" s="151">
        <f>M131+N131+O131-L132</f>
        <v>838471590.41999996</v>
      </c>
      <c r="M131" s="336">
        <v>701723199.91999996</v>
      </c>
      <c r="N131" s="336">
        <v>131852506.18000001</v>
      </c>
      <c r="O131" s="336">
        <v>13395319.879999999</v>
      </c>
      <c r="P131" s="31">
        <f t="shared" si="147"/>
        <v>1984.2709489200001</v>
      </c>
      <c r="Q131" s="31">
        <f t="shared" si="148"/>
        <v>1327.19804976</v>
      </c>
      <c r="R131" s="31">
        <f>E131/1000000</f>
        <v>861.90835844000003</v>
      </c>
      <c r="S131" s="31">
        <f>F131/1000000</f>
        <v>717.40601523999999</v>
      </c>
      <c r="T131" s="31">
        <f t="shared" si="149"/>
        <v>138.15465524000001</v>
      </c>
      <c r="U131" s="31">
        <f>H131/1000000</f>
        <v>14.84712352</v>
      </c>
      <c r="V131" s="31">
        <f t="shared" si="150"/>
        <v>1656.28579382</v>
      </c>
      <c r="W131" s="31">
        <f>K131/1000000</f>
        <v>1154.4218268099999</v>
      </c>
      <c r="X131" s="31">
        <f>L131/1000000</f>
        <v>838.47159041999998</v>
      </c>
      <c r="Y131" s="31">
        <f>M131/1000000</f>
        <v>701.72319991999996</v>
      </c>
      <c r="Z131" s="31">
        <f t="shared" si="151"/>
        <v>131.85250618000001</v>
      </c>
      <c r="AA131" s="31">
        <f t="shared" si="151"/>
        <v>13.395319879999999</v>
      </c>
      <c r="AB131" s="31">
        <f t="shared" si="74"/>
        <v>83.470747516687879</v>
      </c>
      <c r="AC131" s="31">
        <f t="shared" si="55"/>
        <v>86.981880889499223</v>
      </c>
      <c r="AD131" s="31">
        <f>X131/R131%</f>
        <v>97.28082831654875</v>
      </c>
      <c r="AE131" s="31">
        <f>Y131/S131%</f>
        <v>97.813955418989124</v>
      </c>
      <c r="AF131" s="31">
        <f t="shared" si="171"/>
        <v>95.438337529016295</v>
      </c>
      <c r="AG131" s="32">
        <f t="shared" si="171"/>
        <v>90.221650422424716</v>
      </c>
      <c r="AH131" s="33"/>
    </row>
    <row r="132" spans="1:34" s="217" customFormat="1" hidden="1" x14ac:dyDescent="0.25">
      <c r="A132" s="248" t="s">
        <v>68</v>
      </c>
      <c r="B132" s="252">
        <v>140940640.29000002</v>
      </c>
      <c r="C132" s="252">
        <v>213334894.84</v>
      </c>
      <c r="D132" s="252">
        <v>345776099.56999999</v>
      </c>
      <c r="E132" s="308">
        <f>F132+G132+H132</f>
        <v>8499435.5600000005</v>
      </c>
      <c r="F132" s="252">
        <v>0</v>
      </c>
      <c r="G132" s="252">
        <v>6701470.9900000002</v>
      </c>
      <c r="H132" s="252">
        <v>1797964.57</v>
      </c>
      <c r="I132" s="252">
        <v>0</v>
      </c>
      <c r="J132" s="252">
        <v>345107058.97000003</v>
      </c>
      <c r="K132" s="252">
        <v>336607623.41000003</v>
      </c>
      <c r="L132" s="308">
        <f>M132+N132+O132</f>
        <v>8499435.5600000005</v>
      </c>
      <c r="M132" s="252">
        <v>0</v>
      </c>
      <c r="N132" s="252">
        <v>6701470.9900000002</v>
      </c>
      <c r="O132" s="252">
        <v>1797964.57</v>
      </c>
      <c r="P132" s="215"/>
      <c r="Q132" s="215">
        <f t="shared" si="148"/>
        <v>345.77609956999999</v>
      </c>
      <c r="R132" s="215"/>
      <c r="S132" s="215"/>
      <c r="T132" s="215">
        <f t="shared" si="149"/>
        <v>6.7014709899999998</v>
      </c>
      <c r="U132" s="215">
        <f t="shared" si="149"/>
        <v>1.79796457</v>
      </c>
      <c r="V132" s="215"/>
      <c r="W132" s="215">
        <f t="shared" ref="W132:Y144" si="172">K132/1000000</f>
        <v>336.60762341000003</v>
      </c>
      <c r="X132" s="215"/>
      <c r="Y132" s="215"/>
      <c r="Z132" s="215">
        <f t="shared" si="151"/>
        <v>6.7014709899999998</v>
      </c>
      <c r="AA132" s="215">
        <f t="shared" si="151"/>
        <v>1.79796457</v>
      </c>
      <c r="AB132" s="215"/>
      <c r="AC132" s="27">
        <f t="shared" si="55"/>
        <v>97.348435542132123</v>
      </c>
      <c r="AD132" s="215"/>
      <c r="AE132" s="215"/>
      <c r="AF132" s="215">
        <f t="shared" si="171"/>
        <v>100</v>
      </c>
      <c r="AG132" s="216">
        <f t="shared" si="171"/>
        <v>99.999999999999986</v>
      </c>
      <c r="AH132" s="249"/>
    </row>
    <row r="133" spans="1:34" s="35" customFormat="1" x14ac:dyDescent="0.25">
      <c r="A133" s="84" t="s">
        <v>98</v>
      </c>
      <c r="B133" s="336">
        <v>186618802.65000001</v>
      </c>
      <c r="C133" s="336">
        <v>0</v>
      </c>
      <c r="D133" s="336">
        <v>154044299</v>
      </c>
      <c r="E133" s="346">
        <f>F133+G133+H133</f>
        <v>32574503.649999999</v>
      </c>
      <c r="F133" s="336">
        <v>32574503.649999999</v>
      </c>
      <c r="G133" s="336">
        <v>0</v>
      </c>
      <c r="H133" s="336">
        <v>0</v>
      </c>
      <c r="I133" s="336">
        <v>186500220.72</v>
      </c>
      <c r="J133" s="336">
        <v>0</v>
      </c>
      <c r="K133" s="336">
        <v>154044299</v>
      </c>
      <c r="L133" s="346">
        <f>M133+N133+O133</f>
        <v>32455921.719999999</v>
      </c>
      <c r="M133" s="336">
        <v>32455921.719999999</v>
      </c>
      <c r="N133" s="336">
        <v>0</v>
      </c>
      <c r="O133" s="336">
        <v>0</v>
      </c>
      <c r="P133" s="31">
        <f t="shared" si="147"/>
        <v>186.61880264999999</v>
      </c>
      <c r="Q133" s="31">
        <f t="shared" si="148"/>
        <v>154.044299</v>
      </c>
      <c r="R133" s="31">
        <f t="shared" si="148"/>
        <v>32.574503649999997</v>
      </c>
      <c r="S133" s="31">
        <f t="shared" si="148"/>
        <v>32.574503649999997</v>
      </c>
      <c r="T133" s="31">
        <f t="shared" si="149"/>
        <v>0</v>
      </c>
      <c r="U133" s="31">
        <f t="shared" si="149"/>
        <v>0</v>
      </c>
      <c r="V133" s="31">
        <f t="shared" si="149"/>
        <v>186.50022071999999</v>
      </c>
      <c r="W133" s="31">
        <f t="shared" si="172"/>
        <v>154.044299</v>
      </c>
      <c r="X133" s="31">
        <f t="shared" si="172"/>
        <v>32.455921719999999</v>
      </c>
      <c r="Y133" s="31">
        <f t="shared" si="172"/>
        <v>32.455921719999999</v>
      </c>
      <c r="Z133" s="31">
        <f t="shared" si="151"/>
        <v>0</v>
      </c>
      <c r="AA133" s="31">
        <f t="shared" si="151"/>
        <v>0</v>
      </c>
      <c r="AB133" s="31">
        <f>V133/P133%</f>
        <v>99.936457672905334</v>
      </c>
      <c r="AC133" s="31">
        <f t="shared" si="55"/>
        <v>100</v>
      </c>
      <c r="AD133" s="31">
        <f>X133/R133%</f>
        <v>99.635967039516203</v>
      </c>
      <c r="AE133" s="31">
        <f>Y133/S133%</f>
        <v>99.635967039516203</v>
      </c>
      <c r="AF133" s="86" t="s">
        <v>31</v>
      </c>
      <c r="AG133" s="91" t="s">
        <v>31</v>
      </c>
      <c r="AH133" s="33"/>
    </row>
    <row r="134" spans="1:34" s="35" customFormat="1" ht="24.75" customHeight="1" x14ac:dyDescent="0.25">
      <c r="A134" s="84" t="s">
        <v>99</v>
      </c>
      <c r="B134" s="93">
        <v>1439544220.73</v>
      </c>
      <c r="C134" s="93">
        <v>711608.75</v>
      </c>
      <c r="D134" s="93">
        <v>1069004802.39</v>
      </c>
      <c r="E134" s="346">
        <f>F134+G134+H134</f>
        <v>371251027.09000003</v>
      </c>
      <c r="F134" s="93">
        <v>331755789.12</v>
      </c>
      <c r="G134" s="93">
        <v>37065023.549999997</v>
      </c>
      <c r="H134" s="93">
        <v>2430214.42</v>
      </c>
      <c r="I134" s="336">
        <v>1288129987.77</v>
      </c>
      <c r="J134" s="336">
        <v>711608.75</v>
      </c>
      <c r="K134" s="336">
        <v>1049886130.9</v>
      </c>
      <c r="L134" s="346">
        <f>M134+N134+O134</f>
        <v>238955465.62</v>
      </c>
      <c r="M134" s="336">
        <v>209323958.56999999</v>
      </c>
      <c r="N134" s="336">
        <v>27259002.460000001</v>
      </c>
      <c r="O134" s="336">
        <v>2372504.59</v>
      </c>
      <c r="P134" s="31">
        <f t="shared" si="147"/>
        <v>1439.54422073</v>
      </c>
      <c r="Q134" s="31">
        <f t="shared" si="148"/>
        <v>1069.0048023899999</v>
      </c>
      <c r="R134" s="31">
        <f t="shared" si="148"/>
        <v>371.25102709000004</v>
      </c>
      <c r="S134" s="31">
        <f t="shared" si="148"/>
        <v>331.75578912000003</v>
      </c>
      <c r="T134" s="31">
        <f t="shared" si="149"/>
        <v>37.065023549999999</v>
      </c>
      <c r="U134" s="31">
        <f t="shared" si="149"/>
        <v>2.43021442</v>
      </c>
      <c r="V134" s="31">
        <f t="shared" si="149"/>
        <v>1288.1299877700001</v>
      </c>
      <c r="W134" s="31">
        <f t="shared" si="172"/>
        <v>1049.8861308999999</v>
      </c>
      <c r="X134" s="31">
        <f t="shared" si="172"/>
        <v>238.95546562000001</v>
      </c>
      <c r="Y134" s="31">
        <f t="shared" si="172"/>
        <v>209.32395857</v>
      </c>
      <c r="Z134" s="31">
        <f t="shared" si="151"/>
        <v>27.259002460000001</v>
      </c>
      <c r="AA134" s="31">
        <f t="shared" si="151"/>
        <v>2.3725045899999997</v>
      </c>
      <c r="AB134" s="31">
        <f>V134/P134%</f>
        <v>89.481793558018168</v>
      </c>
      <c r="AC134" s="31">
        <f t="shared" si="55"/>
        <v>98.211544845518375</v>
      </c>
      <c r="AD134" s="31">
        <f>X134/R134%</f>
        <v>64.364930514272103</v>
      </c>
      <c r="AE134" s="31">
        <f>Y134/S134%</f>
        <v>63.095796798374792</v>
      </c>
      <c r="AF134" s="31">
        <f t="shared" si="171"/>
        <v>73.543734359774888</v>
      </c>
      <c r="AG134" s="32">
        <f t="shared" si="171"/>
        <v>97.625319415230848</v>
      </c>
      <c r="AH134" s="33"/>
    </row>
    <row r="135" spans="1:34" s="35" customFormat="1" ht="24" customHeight="1" x14ac:dyDescent="0.25">
      <c r="A135" s="84" t="s">
        <v>100</v>
      </c>
      <c r="B135" s="336">
        <v>26208100</v>
      </c>
      <c r="C135" s="336">
        <v>6977544463.3500004</v>
      </c>
      <c r="D135" s="336">
        <v>6227951771.8800001</v>
      </c>
      <c r="E135" s="151"/>
      <c r="F135" s="336">
        <v>0</v>
      </c>
      <c r="G135" s="336">
        <v>770350586.58000004</v>
      </c>
      <c r="H135" s="336">
        <v>5450204.8900000006</v>
      </c>
      <c r="I135" s="336">
        <v>0</v>
      </c>
      <c r="J135" s="336">
        <v>6993649617.9499998</v>
      </c>
      <c r="K135" s="336">
        <v>6225995327.3800001</v>
      </c>
      <c r="L135" s="151"/>
      <c r="M135" s="336">
        <v>0</v>
      </c>
      <c r="N135" s="336">
        <v>763606041.37</v>
      </c>
      <c r="O135" s="336">
        <v>4048249.2</v>
      </c>
      <c r="P135" s="31">
        <f t="shared" si="147"/>
        <v>26.208100000000002</v>
      </c>
      <c r="Q135" s="31">
        <f t="shared" si="148"/>
        <v>6227.9517718799998</v>
      </c>
      <c r="R135" s="31"/>
      <c r="S135" s="31">
        <f t="shared" si="148"/>
        <v>0</v>
      </c>
      <c r="T135" s="31">
        <f t="shared" si="149"/>
        <v>770.35058658000003</v>
      </c>
      <c r="U135" s="31">
        <f t="shared" si="149"/>
        <v>5.4502048900000002</v>
      </c>
      <c r="V135" s="31">
        <f t="shared" si="149"/>
        <v>0</v>
      </c>
      <c r="W135" s="31">
        <f t="shared" si="172"/>
        <v>6225.9953273800002</v>
      </c>
      <c r="X135" s="31"/>
      <c r="Y135" s="31">
        <f t="shared" si="172"/>
        <v>0</v>
      </c>
      <c r="Z135" s="31">
        <f t="shared" si="151"/>
        <v>763.60604136999996</v>
      </c>
      <c r="AA135" s="31">
        <f t="shared" si="151"/>
        <v>4.0482491999999999</v>
      </c>
      <c r="AB135" s="31">
        <f>V135/P135%</f>
        <v>0</v>
      </c>
      <c r="AC135" s="31">
        <f t="shared" si="55"/>
        <v>99.968586068555737</v>
      </c>
      <c r="AD135" s="86" t="s">
        <v>31</v>
      </c>
      <c r="AE135" s="86" t="s">
        <v>31</v>
      </c>
      <c r="AF135" s="31">
        <f t="shared" si="171"/>
        <v>99.124483666593576</v>
      </c>
      <c r="AG135" s="91" t="s">
        <v>31</v>
      </c>
      <c r="AH135" s="33"/>
    </row>
    <row r="136" spans="1:34" ht="26.4" x14ac:dyDescent="0.25">
      <c r="A136" s="85" t="s">
        <v>500</v>
      </c>
      <c r="B136" s="300">
        <v>0</v>
      </c>
      <c r="C136" s="300">
        <v>1597354601.3299999</v>
      </c>
      <c r="D136" s="300">
        <v>1393937800</v>
      </c>
      <c r="E136" s="302"/>
      <c r="F136" s="300">
        <v>0</v>
      </c>
      <c r="G136" s="300">
        <v>203416801.33000001</v>
      </c>
      <c r="H136" s="300">
        <v>0</v>
      </c>
      <c r="I136" s="300">
        <v>0</v>
      </c>
      <c r="J136" s="300">
        <v>1597354601.3299999</v>
      </c>
      <c r="K136" s="300">
        <v>1393937800</v>
      </c>
      <c r="L136" s="302"/>
      <c r="M136" s="300">
        <v>0</v>
      </c>
      <c r="N136" s="300">
        <v>203416801.33000001</v>
      </c>
      <c r="O136" s="300">
        <v>0</v>
      </c>
      <c r="P136" s="27">
        <f t="shared" si="147"/>
        <v>0</v>
      </c>
      <c r="Q136" s="27">
        <f t="shared" si="148"/>
        <v>1393.9377999999999</v>
      </c>
      <c r="R136" s="27"/>
      <c r="S136" s="27">
        <f t="shared" si="148"/>
        <v>0</v>
      </c>
      <c r="T136" s="27">
        <f t="shared" si="149"/>
        <v>203.41680133000003</v>
      </c>
      <c r="U136" s="27">
        <f t="shared" si="149"/>
        <v>0</v>
      </c>
      <c r="V136" s="27">
        <f>I136/1000000</f>
        <v>0</v>
      </c>
      <c r="W136" s="27">
        <f t="shared" si="172"/>
        <v>1393.9377999999999</v>
      </c>
      <c r="X136" s="27"/>
      <c r="Y136" s="27">
        <f t="shared" si="172"/>
        <v>0</v>
      </c>
      <c r="Z136" s="27">
        <f t="shared" si="151"/>
        <v>203.41680133000003</v>
      </c>
      <c r="AA136" s="27">
        <f t="shared" si="151"/>
        <v>0</v>
      </c>
      <c r="AB136" s="43" t="s">
        <v>31</v>
      </c>
      <c r="AC136" s="27">
        <f t="shared" si="55"/>
        <v>100</v>
      </c>
      <c r="AD136" s="43" t="s">
        <v>31</v>
      </c>
      <c r="AE136" s="43" t="s">
        <v>31</v>
      </c>
      <c r="AF136" s="27">
        <f t="shared" si="171"/>
        <v>100</v>
      </c>
      <c r="AG136" s="40" t="s">
        <v>31</v>
      </c>
      <c r="AH136" s="61"/>
    </row>
    <row r="137" spans="1:34" x14ac:dyDescent="0.25">
      <c r="A137" s="85" t="s">
        <v>501</v>
      </c>
      <c r="B137" s="300">
        <v>26208100</v>
      </c>
      <c r="C137" s="300">
        <v>354246862.36000001</v>
      </c>
      <c r="D137" s="300">
        <v>301622286</v>
      </c>
      <c r="E137" s="302"/>
      <c r="F137" s="300">
        <v>0</v>
      </c>
      <c r="G137" s="300">
        <v>78832676.359999999</v>
      </c>
      <c r="H137" s="300">
        <v>0</v>
      </c>
      <c r="I137" s="300">
        <v>0</v>
      </c>
      <c r="J137" s="300">
        <v>380454350.86000001</v>
      </c>
      <c r="K137" s="300">
        <v>301622286</v>
      </c>
      <c r="L137" s="302"/>
      <c r="M137" s="300">
        <v>0</v>
      </c>
      <c r="N137" s="300">
        <v>78832064.859999999</v>
      </c>
      <c r="O137" s="300">
        <v>0</v>
      </c>
      <c r="P137" s="27">
        <f t="shared" si="147"/>
        <v>26.208100000000002</v>
      </c>
      <c r="Q137" s="27">
        <f t="shared" si="148"/>
        <v>301.62228599999997</v>
      </c>
      <c r="R137" s="27"/>
      <c r="S137" s="27">
        <f t="shared" si="148"/>
        <v>0</v>
      </c>
      <c r="T137" s="27">
        <f t="shared" si="149"/>
        <v>78.832676359999994</v>
      </c>
      <c r="U137" s="27">
        <f t="shared" si="149"/>
        <v>0</v>
      </c>
      <c r="V137" s="27">
        <f t="shared" si="149"/>
        <v>0</v>
      </c>
      <c r="W137" s="27">
        <f t="shared" si="172"/>
        <v>301.62228599999997</v>
      </c>
      <c r="X137" s="27"/>
      <c r="Y137" s="27">
        <f t="shared" si="172"/>
        <v>0</v>
      </c>
      <c r="Z137" s="27">
        <f t="shared" si="151"/>
        <v>78.832064860000003</v>
      </c>
      <c r="AA137" s="27">
        <f t="shared" si="151"/>
        <v>0</v>
      </c>
      <c r="AB137" s="43" t="s">
        <v>31</v>
      </c>
      <c r="AC137" s="27">
        <f t="shared" si="55"/>
        <v>100</v>
      </c>
      <c r="AD137" s="43" t="s">
        <v>31</v>
      </c>
      <c r="AE137" s="43" t="s">
        <v>31</v>
      </c>
      <c r="AF137" s="27">
        <f t="shared" si="171"/>
        <v>99.999224306432012</v>
      </c>
      <c r="AG137" s="40" t="s">
        <v>31</v>
      </c>
      <c r="AH137" s="61"/>
    </row>
    <row r="138" spans="1:34" ht="26.4" x14ac:dyDescent="0.25">
      <c r="A138" s="85" t="s">
        <v>502</v>
      </c>
      <c r="B138" s="300">
        <v>0</v>
      </c>
      <c r="C138" s="300">
        <v>5025942999.6599998</v>
      </c>
      <c r="D138" s="300">
        <v>4532391685.8800001</v>
      </c>
      <c r="E138" s="302"/>
      <c r="F138" s="300">
        <v>0</v>
      </c>
      <c r="G138" s="300">
        <v>488101108.88999999</v>
      </c>
      <c r="H138" s="300">
        <v>5450204.8900000006</v>
      </c>
      <c r="I138" s="300">
        <v>0</v>
      </c>
      <c r="J138" s="300">
        <v>5015840665.7600002</v>
      </c>
      <c r="K138" s="300">
        <v>4530435241.3800001</v>
      </c>
      <c r="L138" s="302"/>
      <c r="M138" s="300">
        <v>0</v>
      </c>
      <c r="N138" s="300">
        <v>481357175.18000001</v>
      </c>
      <c r="O138" s="300">
        <v>4048249.2</v>
      </c>
      <c r="P138" s="27">
        <f t="shared" si="147"/>
        <v>0</v>
      </c>
      <c r="Q138" s="27">
        <f t="shared" si="148"/>
        <v>4532.3916858800003</v>
      </c>
      <c r="R138" s="27"/>
      <c r="S138" s="27">
        <f t="shared" si="148"/>
        <v>0</v>
      </c>
      <c r="T138" s="27">
        <f t="shared" si="149"/>
        <v>488.10110888999998</v>
      </c>
      <c r="U138" s="27">
        <f t="shared" si="149"/>
        <v>5.4502048900000002</v>
      </c>
      <c r="V138" s="27">
        <f t="shared" si="149"/>
        <v>0</v>
      </c>
      <c r="W138" s="27">
        <f t="shared" si="172"/>
        <v>4530.4352413799998</v>
      </c>
      <c r="X138" s="27"/>
      <c r="Y138" s="27">
        <f t="shared" si="172"/>
        <v>0</v>
      </c>
      <c r="Z138" s="27">
        <f t="shared" si="151"/>
        <v>481.35717518000001</v>
      </c>
      <c r="AA138" s="27">
        <f t="shared" si="151"/>
        <v>4.0482491999999999</v>
      </c>
      <c r="AB138" s="43" t="s">
        <v>31</v>
      </c>
      <c r="AC138" s="27">
        <f t="shared" si="55"/>
        <v>99.956834169780706</v>
      </c>
      <c r="AD138" s="43" t="s">
        <v>31</v>
      </c>
      <c r="AE138" s="43" t="s">
        <v>31</v>
      </c>
      <c r="AF138" s="27">
        <f t="shared" si="171"/>
        <v>98.618332639043487</v>
      </c>
      <c r="AG138" s="40" t="s">
        <v>31</v>
      </c>
      <c r="AH138" s="26"/>
    </row>
    <row r="139" spans="1:34" s="35" customFormat="1" x14ac:dyDescent="0.25">
      <c r="A139" s="94" t="s">
        <v>101</v>
      </c>
      <c r="B139" s="95">
        <f>B56+B58+B60+B62+B82+B92+B94+B109+B111+B122+B131+B133+B134+B135</f>
        <v>139065142192.88</v>
      </c>
      <c r="C139" s="95">
        <f>C56+C58+C60+C62+C82+C92+C94+C109+C111+C122+C131+C133+C134+C135</f>
        <v>34825830201.07</v>
      </c>
      <c r="D139" s="95">
        <f>D56+D58+D60+D62+D82+D92+D94+D109+D111+D122+D131+D133+D134+D135</f>
        <v>118719902024.43001</v>
      </c>
      <c r="E139" s="95">
        <f>E56+E58+E60+E62+E82+E92+E94+E109+E111+E122+E131+E133+E134</f>
        <v>52741394431.549995</v>
      </c>
      <c r="F139" s="95">
        <f t="shared" ref="F139:O139" si="173">F56+F58+F60+F62+F82+F92+F94+F109+F111+F122+F131+F133+F134+F135</f>
        <v>30216308702.210003</v>
      </c>
      <c r="G139" s="95">
        <f t="shared" si="173"/>
        <v>21467526944.420006</v>
      </c>
      <c r="H139" s="95">
        <f t="shared" si="173"/>
        <v>3487234722.8899994</v>
      </c>
      <c r="I139" s="95">
        <f t="shared" si="173"/>
        <v>128415256893.87</v>
      </c>
      <c r="J139" s="95">
        <f t="shared" si="173"/>
        <v>36568025374.949997</v>
      </c>
      <c r="K139" s="95">
        <f t="shared" si="173"/>
        <v>112788309794.11</v>
      </c>
      <c r="L139" s="95">
        <f t="shared" si="173"/>
        <v>49828444453.230003</v>
      </c>
      <c r="M139" s="95">
        <f t="shared" si="173"/>
        <v>28703697157.450005</v>
      </c>
      <c r="N139" s="95">
        <f t="shared" si="173"/>
        <v>20216938270.609997</v>
      </c>
      <c r="O139" s="95">
        <f t="shared" si="173"/>
        <v>3274337046.6500001</v>
      </c>
      <c r="P139" s="65">
        <f t="shared" si="147"/>
        <v>139065.14219288001</v>
      </c>
      <c r="Q139" s="65">
        <f t="shared" si="148"/>
        <v>118719.90202443</v>
      </c>
      <c r="R139" s="65">
        <f>E139/1000000</f>
        <v>52741.394431549998</v>
      </c>
      <c r="S139" s="65">
        <f>F139/1000000</f>
        <v>30216.308702210004</v>
      </c>
      <c r="T139" s="65">
        <f t="shared" si="149"/>
        <v>21467.526944420006</v>
      </c>
      <c r="U139" s="65">
        <f t="shared" si="149"/>
        <v>3487.2347228899994</v>
      </c>
      <c r="V139" s="65">
        <f t="shared" si="149"/>
        <v>128415.25689387</v>
      </c>
      <c r="W139" s="65">
        <f t="shared" si="172"/>
        <v>112788.30979411</v>
      </c>
      <c r="X139" s="65">
        <f t="shared" si="172"/>
        <v>49828.444453230004</v>
      </c>
      <c r="Y139" s="65">
        <f t="shared" si="172"/>
        <v>28703.697157450006</v>
      </c>
      <c r="Z139" s="65">
        <f t="shared" si="151"/>
        <v>20216.938270609997</v>
      </c>
      <c r="AA139" s="65">
        <f t="shared" si="151"/>
        <v>3274.33704665</v>
      </c>
      <c r="AB139" s="65">
        <f>V139/P139%</f>
        <v>92.341801021395511</v>
      </c>
      <c r="AC139" s="65">
        <f t="shared" si="55"/>
        <v>95.00370862073369</v>
      </c>
      <c r="AD139" s="65">
        <f>X139/R139%</f>
        <v>94.476918917833046</v>
      </c>
      <c r="AE139" s="65">
        <f>Y139/S139%</f>
        <v>94.994055827046239</v>
      </c>
      <c r="AF139" s="65">
        <f t="shared" si="171"/>
        <v>94.174509821052894</v>
      </c>
      <c r="AG139" s="96">
        <f>AA139/U139%</f>
        <v>93.894942750983972</v>
      </c>
      <c r="AH139" s="64"/>
    </row>
    <row r="140" spans="1:34" s="59" customFormat="1" hidden="1" x14ac:dyDescent="0.25">
      <c r="A140" s="97" t="s">
        <v>102</v>
      </c>
      <c r="B140" s="98">
        <f t="shared" ref="B140:O140" si="174">B139-B55</f>
        <v>0</v>
      </c>
      <c r="C140" s="98">
        <f t="shared" si="174"/>
        <v>0</v>
      </c>
      <c r="D140" s="98">
        <f t="shared" si="174"/>
        <v>0</v>
      </c>
      <c r="E140" s="98">
        <f t="shared" si="174"/>
        <v>0</v>
      </c>
      <c r="F140" s="98">
        <f t="shared" si="174"/>
        <v>0</v>
      </c>
      <c r="G140" s="98">
        <f t="shared" si="174"/>
        <v>0</v>
      </c>
      <c r="H140" s="98">
        <f t="shared" si="174"/>
        <v>0</v>
      </c>
      <c r="I140" s="98">
        <f t="shared" si="174"/>
        <v>0</v>
      </c>
      <c r="J140" s="98">
        <f t="shared" si="174"/>
        <v>0</v>
      </c>
      <c r="K140" s="98">
        <f t="shared" si="174"/>
        <v>0</v>
      </c>
      <c r="L140" s="98">
        <f t="shared" si="174"/>
        <v>0</v>
      </c>
      <c r="M140" s="98">
        <f t="shared" si="174"/>
        <v>0</v>
      </c>
      <c r="N140" s="98">
        <f t="shared" si="174"/>
        <v>0</v>
      </c>
      <c r="O140" s="98">
        <f t="shared" si="174"/>
        <v>0</v>
      </c>
      <c r="P140" s="99">
        <f t="shared" si="147"/>
        <v>0</v>
      </c>
      <c r="Q140" s="99">
        <f t="shared" si="148"/>
        <v>0</v>
      </c>
      <c r="R140" s="99">
        <f>E140/1000000</f>
        <v>0</v>
      </c>
      <c r="S140" s="99">
        <f>F140/1000000</f>
        <v>0</v>
      </c>
      <c r="T140" s="99">
        <f t="shared" si="149"/>
        <v>0</v>
      </c>
      <c r="U140" s="99">
        <f t="shared" si="149"/>
        <v>0</v>
      </c>
      <c r="V140" s="99">
        <f t="shared" si="149"/>
        <v>0</v>
      </c>
      <c r="W140" s="99">
        <f t="shared" si="172"/>
        <v>0</v>
      </c>
      <c r="X140" s="99">
        <f t="shared" si="172"/>
        <v>0</v>
      </c>
      <c r="Y140" s="99">
        <f t="shared" si="172"/>
        <v>0</v>
      </c>
      <c r="Z140" s="99">
        <f t="shared" si="151"/>
        <v>0</v>
      </c>
      <c r="AA140" s="99">
        <f t="shared" si="151"/>
        <v>0</v>
      </c>
      <c r="AB140" s="100"/>
      <c r="AC140" s="100"/>
      <c r="AD140" s="100"/>
      <c r="AE140" s="100"/>
      <c r="AF140" s="100"/>
      <c r="AG140" s="101"/>
      <c r="AH140" s="102"/>
    </row>
    <row r="141" spans="1:34" x14ac:dyDescent="0.25">
      <c r="A141" s="230" t="s">
        <v>68</v>
      </c>
      <c r="B141" s="104">
        <v>3845682963.7000003</v>
      </c>
      <c r="C141" s="104">
        <v>34825118592.320007</v>
      </c>
      <c r="D141" s="104">
        <v>36241125618.050003</v>
      </c>
      <c r="E141" s="145">
        <f>F141+G141+H141</f>
        <v>2429675937.9699998</v>
      </c>
      <c r="F141" s="141">
        <v>0</v>
      </c>
      <c r="G141" s="141">
        <v>2248424151.9699998</v>
      </c>
      <c r="H141" s="141">
        <v>181251786</v>
      </c>
      <c r="I141" s="141">
        <v>343659102.81</v>
      </c>
      <c r="J141" s="141">
        <v>36567313766.200005</v>
      </c>
      <c r="K141" s="141">
        <v>34544444847.529999</v>
      </c>
      <c r="L141" s="145">
        <f>M141+N141+O141</f>
        <v>2366528021.4799995</v>
      </c>
      <c r="M141" s="141">
        <v>0</v>
      </c>
      <c r="N141" s="141">
        <v>2187623854.4799995</v>
      </c>
      <c r="O141" s="141">
        <v>178904166.99999997</v>
      </c>
      <c r="P141" s="42">
        <f t="shared" si="147"/>
        <v>3845.6829637000001</v>
      </c>
      <c r="Q141" s="42">
        <f t="shared" si="148"/>
        <v>36241.125618050006</v>
      </c>
      <c r="R141" s="42">
        <f t="shared" si="148"/>
        <v>2429.6759379699997</v>
      </c>
      <c r="S141" s="42">
        <f t="shared" si="148"/>
        <v>0</v>
      </c>
      <c r="T141" s="42">
        <f>G141/1000000</f>
        <v>2248.4241519699999</v>
      </c>
      <c r="U141" s="42">
        <f>H141/1000000</f>
        <v>181.25178600000001</v>
      </c>
      <c r="V141" s="42">
        <f>I141/1000000</f>
        <v>343.65910280999998</v>
      </c>
      <c r="W141" s="42">
        <f t="shared" si="172"/>
        <v>34544.444847530001</v>
      </c>
      <c r="X141" s="42">
        <f t="shared" si="172"/>
        <v>2366.5280214799996</v>
      </c>
      <c r="Y141" s="42">
        <f t="shared" si="172"/>
        <v>0</v>
      </c>
      <c r="Z141" s="42">
        <f t="shared" si="151"/>
        <v>2187.6238544799994</v>
      </c>
      <c r="AA141" s="42">
        <f t="shared" si="151"/>
        <v>178.90416699999997</v>
      </c>
      <c r="AB141" s="42">
        <f>V141/P141%</f>
        <v>8.936230730766205</v>
      </c>
      <c r="AC141" s="42">
        <f>W141/Q141%</f>
        <v>95.318355206729649</v>
      </c>
      <c r="AD141" s="42">
        <f>X141/R141%</f>
        <v>97.400973705869589</v>
      </c>
      <c r="AE141" s="105" t="s">
        <v>31</v>
      </c>
      <c r="AF141" s="42">
        <f t="shared" si="171"/>
        <v>97.295870646259999</v>
      </c>
      <c r="AG141" s="106">
        <f>AA141/U141%</f>
        <v>98.704774693916647</v>
      </c>
      <c r="AH141" s="107"/>
    </row>
    <row r="142" spans="1:34" s="58" customFormat="1" hidden="1" x14ac:dyDescent="0.25">
      <c r="A142" s="54" t="s">
        <v>103</v>
      </c>
      <c r="B142" s="262">
        <f>(B57+B59+B61+B63+B83+B93+B95+B110+B112+B123+B132+B135)-B141</f>
        <v>0</v>
      </c>
      <c r="C142" s="262">
        <f>(C57+C59+C61+C63+C83+C93+C95+C110+C112+C123+C132+C135)-C141</f>
        <v>0</v>
      </c>
      <c r="D142" s="262">
        <f>(D57+D59+D61+D63+D83+D93+D95+D110+D112+D123+D132+D135)-D141</f>
        <v>0</v>
      </c>
      <c r="E142" s="262">
        <f>(E57+E59+E61+E63+E83+E93+E95+E110+E112+E123+E132+G135+H135)-E141</f>
        <v>0</v>
      </c>
      <c r="F142" s="262">
        <f t="shared" ref="F142:K142" si="175">(F57+F59+F61+F63+F83+F93+F95+F110+F112+F123+F132+F135)-F141</f>
        <v>0</v>
      </c>
      <c r="G142" s="262">
        <f t="shared" si="175"/>
        <v>0</v>
      </c>
      <c r="H142" s="262">
        <f t="shared" si="175"/>
        <v>0</v>
      </c>
      <c r="I142" s="262">
        <f t="shared" si="175"/>
        <v>0</v>
      </c>
      <c r="J142" s="262">
        <f t="shared" si="175"/>
        <v>0</v>
      </c>
      <c r="K142" s="262">
        <f t="shared" si="175"/>
        <v>0</v>
      </c>
      <c r="L142" s="262">
        <f>(L57+L59+L61+L63+L83+L93+L95+L110+L112+L123+L132+N135+O135)-L141</f>
        <v>0</v>
      </c>
      <c r="M142" s="262">
        <f>(M57+M59+M61+M63+M83+M93+M95+M110+M112+M123+M132+M135)-M141</f>
        <v>0</v>
      </c>
      <c r="N142" s="262">
        <f>(N57+N59+N61+N63+N83+N93+N95+N110+N112+N123+N132+N135)-N141</f>
        <v>0</v>
      </c>
      <c r="O142" s="262">
        <f>(O57+O59+O61+O63+O83+O93+O95+O110+O112+O123+O132+O135)-O141</f>
        <v>0</v>
      </c>
      <c r="P142" s="99"/>
      <c r="Q142" s="99"/>
      <c r="R142" s="99"/>
      <c r="S142" s="99"/>
      <c r="T142" s="99"/>
      <c r="U142" s="99"/>
      <c r="V142" s="99"/>
      <c r="W142" s="99"/>
      <c r="X142" s="99"/>
      <c r="Y142" s="99"/>
      <c r="Z142" s="99"/>
      <c r="AA142" s="99"/>
      <c r="AB142" s="99"/>
      <c r="AC142" s="99"/>
      <c r="AD142" s="99"/>
      <c r="AE142" s="99"/>
      <c r="AF142" s="99"/>
      <c r="AG142" s="263"/>
      <c r="AH142" s="108"/>
    </row>
    <row r="143" spans="1:34" s="35" customFormat="1" ht="27" thickBot="1" x14ac:dyDescent="0.3">
      <c r="A143" s="109" t="s">
        <v>593</v>
      </c>
      <c r="B143" s="110">
        <v>-21009573602.799999</v>
      </c>
      <c r="C143" s="110">
        <v>0</v>
      </c>
      <c r="D143" s="110">
        <v>-18886076300</v>
      </c>
      <c r="E143" s="110">
        <f>F143+G143+H143</f>
        <v>-2123497302.7999997</v>
      </c>
      <c r="F143" s="110">
        <v>-1324990788.3399999</v>
      </c>
      <c r="G143" s="110">
        <v>-622777014.86000001</v>
      </c>
      <c r="H143" s="110">
        <v>-175729499.60000002</v>
      </c>
      <c r="I143" s="110">
        <v>-15113864339.379999</v>
      </c>
      <c r="J143" s="110">
        <v>0</v>
      </c>
      <c r="K143" s="110">
        <v>-14779499953.809999</v>
      </c>
      <c r="L143" s="110">
        <f>L38-L139</f>
        <v>-334364385.56999969</v>
      </c>
      <c r="M143" s="110">
        <v>-156580845.5</v>
      </c>
      <c r="N143" s="110">
        <v>-156661297.61000001</v>
      </c>
      <c r="O143" s="110">
        <v>-21122242.459999997</v>
      </c>
      <c r="P143" s="111">
        <f t="shared" si="147"/>
        <v>-21009.573602799999</v>
      </c>
      <c r="Q143" s="111">
        <f t="shared" si="148"/>
        <v>-18886.076300000001</v>
      </c>
      <c r="R143" s="111">
        <f t="shared" si="148"/>
        <v>-2123.4973027999995</v>
      </c>
      <c r="S143" s="111">
        <f t="shared" si="148"/>
        <v>-1324.9907883399999</v>
      </c>
      <c r="T143" s="111">
        <f t="shared" si="148"/>
        <v>-622.77701486000001</v>
      </c>
      <c r="U143" s="111">
        <f t="shared" si="148"/>
        <v>-175.72949960000003</v>
      </c>
      <c r="V143" s="111">
        <f t="shared" si="148"/>
        <v>-15113.864339379999</v>
      </c>
      <c r="W143" s="111">
        <f t="shared" si="172"/>
        <v>-14779.49995381</v>
      </c>
      <c r="X143" s="111">
        <f t="shared" si="172"/>
        <v>-334.36438556999968</v>
      </c>
      <c r="Y143" s="111">
        <f t="shared" si="172"/>
        <v>-156.58084550000001</v>
      </c>
      <c r="Z143" s="111">
        <f>N143/1000000</f>
        <v>-156.66129761000002</v>
      </c>
      <c r="AA143" s="111">
        <f>O143/1000000</f>
        <v>-21.122242459999999</v>
      </c>
      <c r="AB143" s="112" t="s">
        <v>105</v>
      </c>
      <c r="AC143" s="112" t="s">
        <v>105</v>
      </c>
      <c r="AD143" s="112" t="s">
        <v>105</v>
      </c>
      <c r="AE143" s="112" t="s">
        <v>105</v>
      </c>
      <c r="AF143" s="112" t="s">
        <v>105</v>
      </c>
      <c r="AG143" s="113" t="s">
        <v>105</v>
      </c>
      <c r="AH143" s="443"/>
    </row>
    <row r="144" spans="1:34" s="35" customFormat="1" ht="13.8" hidden="1" thickTop="1" x14ac:dyDescent="0.25">
      <c r="A144" s="114" t="s">
        <v>565</v>
      </c>
      <c r="B144" s="115">
        <f>B38-B139</f>
        <v>-32194108494.340012</v>
      </c>
      <c r="C144" s="115">
        <v>0</v>
      </c>
      <c r="D144" s="115">
        <f>D38-D139</f>
        <v>-27347933324.430008</v>
      </c>
      <c r="E144" s="116">
        <f>F144+G144+H144</f>
        <v>-4846175169.9100103</v>
      </c>
      <c r="F144" s="115">
        <f t="shared" ref="F144:K144" si="176">F38-F139</f>
        <v>-4088601045.6500053</v>
      </c>
      <c r="G144" s="115">
        <f t="shared" si="176"/>
        <v>-578741595.6700058</v>
      </c>
      <c r="H144" s="115">
        <f t="shared" si="176"/>
        <v>-178832528.5899992</v>
      </c>
      <c r="I144" s="115">
        <f t="shared" si="176"/>
        <v>-15113864339.380005</v>
      </c>
      <c r="J144" s="115">
        <f t="shared" si="176"/>
        <v>0</v>
      </c>
      <c r="K144" s="115">
        <f t="shared" si="176"/>
        <v>-14779499953.809982</v>
      </c>
      <c r="L144" s="116">
        <f>M144+N144+O144</f>
        <v>-334364385.56999731</v>
      </c>
      <c r="M144" s="115">
        <f>M38-M139</f>
        <v>-156580845.5</v>
      </c>
      <c r="N144" s="115">
        <f>N38-N139</f>
        <v>-156661297.6099968</v>
      </c>
      <c r="O144" s="115">
        <f>O38-O139</f>
        <v>-21122242.460000515</v>
      </c>
      <c r="P144" s="117">
        <f>B144/1000000</f>
        <v>-32194.108494340013</v>
      </c>
      <c r="Q144" s="117">
        <f t="shared" ref="Q144:V144" si="177">D144/1000000</f>
        <v>-27347.933324430007</v>
      </c>
      <c r="R144" s="117">
        <f t="shared" si="177"/>
        <v>-4846.1751699100105</v>
      </c>
      <c r="S144" s="117">
        <f t="shared" si="177"/>
        <v>-4088.6010456500053</v>
      </c>
      <c r="T144" s="117">
        <f t="shared" si="177"/>
        <v>-578.74159567000584</v>
      </c>
      <c r="U144" s="117">
        <f t="shared" si="177"/>
        <v>-178.83252858999919</v>
      </c>
      <c r="V144" s="117">
        <f t="shared" si="177"/>
        <v>-15113.864339380005</v>
      </c>
      <c r="W144" s="117">
        <f t="shared" si="172"/>
        <v>-14779.499953809982</v>
      </c>
      <c r="X144" s="117">
        <f t="shared" si="172"/>
        <v>-334.3643855699973</v>
      </c>
      <c r="Y144" s="117">
        <f t="shared" si="172"/>
        <v>-156.58084550000001</v>
      </c>
      <c r="Z144" s="117">
        <f>N144/1000000</f>
        <v>-156.66129760999681</v>
      </c>
      <c r="AA144" s="117">
        <f>O144/1000000</f>
        <v>-21.122242460000514</v>
      </c>
      <c r="AB144" s="117"/>
      <c r="AC144" s="117"/>
      <c r="AD144" s="117"/>
      <c r="AE144" s="117"/>
      <c r="AF144" s="117"/>
      <c r="AG144" s="118"/>
      <c r="AH144" s="119"/>
    </row>
    <row r="145" spans="1:34" s="35" customFormat="1" ht="13.8" hidden="1" thickBot="1" x14ac:dyDescent="0.3">
      <c r="A145" s="120" t="s">
        <v>106</v>
      </c>
      <c r="B145" s="121">
        <f>B143-B144</f>
        <v>11184534891.540012</v>
      </c>
      <c r="C145" s="121"/>
      <c r="D145" s="121">
        <f t="shared" ref="D145:AA145" si="178">D143-D144</f>
        <v>8461857024.4300079</v>
      </c>
      <c r="E145" s="121">
        <f t="shared" si="178"/>
        <v>2722677867.1100106</v>
      </c>
      <c r="F145" s="121">
        <f>F143-F144</f>
        <v>2763610257.3100052</v>
      </c>
      <c r="G145" s="121">
        <f t="shared" ref="G145:M145" si="179">G143-G144</f>
        <v>-44035419.189994216</v>
      </c>
      <c r="H145" s="121">
        <f t="shared" si="179"/>
        <v>3103028.9899991751</v>
      </c>
      <c r="I145" s="121">
        <f t="shared" si="179"/>
        <v>0</v>
      </c>
      <c r="J145" s="121"/>
      <c r="K145" s="121">
        <f t="shared" si="179"/>
        <v>-1.71661376953125E-5</v>
      </c>
      <c r="L145" s="121">
        <f t="shared" si="178"/>
        <v>-2.384185791015625E-6</v>
      </c>
      <c r="M145" s="121">
        <f t="shared" si="179"/>
        <v>0</v>
      </c>
      <c r="N145" s="121">
        <f t="shared" ref="N145" si="180">N143-N144</f>
        <v>-3.2186508178710938E-6</v>
      </c>
      <c r="O145" s="121">
        <f t="shared" ref="O145" si="181">O143-O144</f>
        <v>5.1781535148620605E-7</v>
      </c>
      <c r="P145" s="437">
        <f t="shared" si="178"/>
        <v>11184.534891540014</v>
      </c>
      <c r="Q145" s="437">
        <f t="shared" si="178"/>
        <v>8461.8570244300063</v>
      </c>
      <c r="R145" s="437">
        <f t="shared" si="178"/>
        <v>2722.677867110011</v>
      </c>
      <c r="S145" s="437">
        <f t="shared" si="178"/>
        <v>2763.6102573100052</v>
      </c>
      <c r="T145" s="437">
        <f t="shared" si="178"/>
        <v>-44.035419189994172</v>
      </c>
      <c r="U145" s="437">
        <f t="shared" si="178"/>
        <v>3.1030289899991601</v>
      </c>
      <c r="V145" s="437">
        <f t="shared" si="178"/>
        <v>0</v>
      </c>
      <c r="W145" s="437">
        <f t="shared" si="178"/>
        <v>-1.8189894035458565E-11</v>
      </c>
      <c r="X145" s="437">
        <f t="shared" si="178"/>
        <v>-2.3874235921539366E-12</v>
      </c>
      <c r="Y145" s="437">
        <f t="shared" si="178"/>
        <v>0</v>
      </c>
      <c r="Z145" s="437">
        <f t="shared" si="178"/>
        <v>-3.2116531656356528E-12</v>
      </c>
      <c r="AA145" s="437">
        <f t="shared" si="178"/>
        <v>5.1514348342607263E-13</v>
      </c>
      <c r="AB145" s="122"/>
      <c r="AC145" s="122"/>
      <c r="AD145" s="122"/>
      <c r="AE145" s="122"/>
      <c r="AF145" s="122"/>
      <c r="AG145" s="123"/>
      <c r="AH145" s="119"/>
    </row>
    <row r="146" spans="1:34" ht="13.5" customHeight="1" thickTop="1" x14ac:dyDescent="0.25">
      <c r="A146" s="977" t="s">
        <v>1</v>
      </c>
      <c r="B146" s="979" t="s">
        <v>557</v>
      </c>
      <c r="C146" s="979"/>
      <c r="D146" s="979"/>
      <c r="E146" s="979"/>
      <c r="F146" s="979"/>
      <c r="G146" s="979"/>
      <c r="H146" s="979"/>
      <c r="I146" s="979" t="s">
        <v>620</v>
      </c>
      <c r="J146" s="979"/>
      <c r="K146" s="979"/>
      <c r="L146" s="979"/>
      <c r="M146" s="979"/>
      <c r="N146" s="979"/>
      <c r="O146" s="979"/>
      <c r="P146" s="979" t="s">
        <v>558</v>
      </c>
      <c r="Q146" s="979"/>
      <c r="R146" s="979"/>
      <c r="S146" s="979"/>
      <c r="T146" s="979"/>
      <c r="U146" s="979"/>
      <c r="V146" s="979" t="s">
        <v>621</v>
      </c>
      <c r="W146" s="979"/>
      <c r="X146" s="979"/>
      <c r="Y146" s="979"/>
      <c r="Z146" s="979"/>
      <c r="AA146" s="979"/>
      <c r="AB146" s="979" t="s">
        <v>2</v>
      </c>
      <c r="AC146" s="979"/>
      <c r="AD146" s="979"/>
      <c r="AE146" s="979"/>
      <c r="AF146" s="979"/>
      <c r="AG146" s="980"/>
      <c r="AH146" s="9"/>
    </row>
    <row r="147" spans="1:34" x14ac:dyDescent="0.25">
      <c r="A147" s="978"/>
      <c r="B147" s="973" t="s">
        <v>3</v>
      </c>
      <c r="C147" s="987" t="s">
        <v>4</v>
      </c>
      <c r="D147" s="988"/>
      <c r="E147" s="988"/>
      <c r="F147" s="988"/>
      <c r="G147" s="988"/>
      <c r="H147" s="989"/>
      <c r="I147" s="973" t="s">
        <v>3</v>
      </c>
      <c r="J147" s="331"/>
      <c r="K147" s="972" t="s">
        <v>4</v>
      </c>
      <c r="L147" s="972"/>
      <c r="M147" s="972"/>
      <c r="N147" s="972"/>
      <c r="O147" s="972"/>
      <c r="P147" s="973" t="s">
        <v>3</v>
      </c>
      <c r="Q147" s="972" t="s">
        <v>5</v>
      </c>
      <c r="R147" s="972"/>
      <c r="S147" s="972"/>
      <c r="T147" s="972"/>
      <c r="U147" s="972"/>
      <c r="V147" s="973" t="s">
        <v>3</v>
      </c>
      <c r="W147" s="972" t="s">
        <v>5</v>
      </c>
      <c r="X147" s="972"/>
      <c r="Y147" s="972"/>
      <c r="Z147" s="972"/>
      <c r="AA147" s="972"/>
      <c r="AB147" s="973" t="s">
        <v>3</v>
      </c>
      <c r="AC147" s="972" t="s">
        <v>5</v>
      </c>
      <c r="AD147" s="972"/>
      <c r="AE147" s="972"/>
      <c r="AF147" s="972"/>
      <c r="AG147" s="974"/>
      <c r="AH147" s="9"/>
    </row>
    <row r="148" spans="1:34" x14ac:dyDescent="0.25">
      <c r="A148" s="978"/>
      <c r="B148" s="973"/>
      <c r="C148" s="985" t="s">
        <v>6</v>
      </c>
      <c r="D148" s="973" t="s">
        <v>7</v>
      </c>
      <c r="E148" s="973" t="s">
        <v>8</v>
      </c>
      <c r="F148" s="976" t="s">
        <v>9</v>
      </c>
      <c r="G148" s="976"/>
      <c r="H148" s="976"/>
      <c r="I148" s="973"/>
      <c r="J148" s="985" t="s">
        <v>6</v>
      </c>
      <c r="K148" s="973" t="s">
        <v>7</v>
      </c>
      <c r="L148" s="973" t="s">
        <v>8</v>
      </c>
      <c r="M148" s="976" t="s">
        <v>9</v>
      </c>
      <c r="N148" s="976"/>
      <c r="O148" s="976"/>
      <c r="P148" s="973"/>
      <c r="Q148" s="973" t="s">
        <v>7</v>
      </c>
      <c r="R148" s="975" t="s">
        <v>8</v>
      </c>
      <c r="S148" s="976" t="s">
        <v>9</v>
      </c>
      <c r="T148" s="976"/>
      <c r="U148" s="976"/>
      <c r="V148" s="973"/>
      <c r="W148" s="973" t="s">
        <v>7</v>
      </c>
      <c r="X148" s="975" t="s">
        <v>8</v>
      </c>
      <c r="Y148" s="976" t="s">
        <v>9</v>
      </c>
      <c r="Z148" s="976"/>
      <c r="AA148" s="976"/>
      <c r="AB148" s="973"/>
      <c r="AC148" s="975" t="s">
        <v>7</v>
      </c>
      <c r="AD148" s="975" t="s">
        <v>8</v>
      </c>
      <c r="AE148" s="981" t="s">
        <v>9</v>
      </c>
      <c r="AF148" s="981"/>
      <c r="AG148" s="982"/>
      <c r="AH148" s="10"/>
    </row>
    <row r="149" spans="1:34" ht="54.75" customHeight="1" x14ac:dyDescent="0.25">
      <c r="A149" s="978"/>
      <c r="B149" s="973"/>
      <c r="C149" s="986"/>
      <c r="D149" s="973"/>
      <c r="E149" s="973"/>
      <c r="F149" s="330" t="s">
        <v>10</v>
      </c>
      <c r="G149" s="330" t="s">
        <v>11</v>
      </c>
      <c r="H149" s="330" t="s">
        <v>12</v>
      </c>
      <c r="I149" s="973"/>
      <c r="J149" s="986"/>
      <c r="K149" s="973"/>
      <c r="L149" s="973"/>
      <c r="M149" s="330" t="s">
        <v>10</v>
      </c>
      <c r="N149" s="330" t="s">
        <v>11</v>
      </c>
      <c r="O149" s="330" t="s">
        <v>12</v>
      </c>
      <c r="P149" s="973"/>
      <c r="Q149" s="973"/>
      <c r="R149" s="975"/>
      <c r="S149" s="330" t="s">
        <v>10</v>
      </c>
      <c r="T149" s="330" t="s">
        <v>11</v>
      </c>
      <c r="U149" s="330" t="s">
        <v>12</v>
      </c>
      <c r="V149" s="973"/>
      <c r="W149" s="973"/>
      <c r="X149" s="975"/>
      <c r="Y149" s="330" t="s">
        <v>10</v>
      </c>
      <c r="Z149" s="330" t="s">
        <v>11</v>
      </c>
      <c r="AA149" s="330" t="s">
        <v>12</v>
      </c>
      <c r="AB149" s="973"/>
      <c r="AC149" s="975"/>
      <c r="AD149" s="975"/>
      <c r="AE149" s="11" t="s">
        <v>10</v>
      </c>
      <c r="AF149" s="11" t="s">
        <v>11</v>
      </c>
      <c r="AG149" s="12" t="s">
        <v>13</v>
      </c>
      <c r="AH149" s="13"/>
    </row>
    <row r="150" spans="1:34" x14ac:dyDescent="0.25">
      <c r="A150" s="14" t="s">
        <v>14</v>
      </c>
      <c r="B150" s="15"/>
      <c r="C150" s="15"/>
      <c r="D150" s="16"/>
      <c r="E150" s="15"/>
      <c r="F150" s="17"/>
      <c r="G150" s="17"/>
      <c r="H150" s="17"/>
      <c r="I150" s="15"/>
      <c r="J150" s="15"/>
      <c r="K150" s="15"/>
      <c r="L150" s="15"/>
      <c r="M150" s="17"/>
      <c r="N150" s="17"/>
      <c r="O150" s="17"/>
      <c r="P150" s="15" t="s">
        <v>15</v>
      </c>
      <c r="Q150" s="15" t="s">
        <v>16</v>
      </c>
      <c r="R150" s="15" t="s">
        <v>17</v>
      </c>
      <c r="S150" s="17">
        <v>4</v>
      </c>
      <c r="T150" s="17">
        <v>5</v>
      </c>
      <c r="U150" s="17">
        <v>6</v>
      </c>
      <c r="V150" s="15" t="s">
        <v>18</v>
      </c>
      <c r="W150" s="15" t="s">
        <v>19</v>
      </c>
      <c r="X150" s="15" t="s">
        <v>20</v>
      </c>
      <c r="Y150" s="17">
        <v>10</v>
      </c>
      <c r="Z150" s="17">
        <v>11</v>
      </c>
      <c r="AA150" s="17">
        <v>12</v>
      </c>
      <c r="AB150" s="15" t="s">
        <v>21</v>
      </c>
      <c r="AC150" s="15" t="s">
        <v>22</v>
      </c>
      <c r="AD150" s="15" t="s">
        <v>23</v>
      </c>
      <c r="AE150" s="17" t="s">
        <v>24</v>
      </c>
      <c r="AF150" s="17" t="s">
        <v>25</v>
      </c>
      <c r="AG150" s="18" t="s">
        <v>26</v>
      </c>
      <c r="AH150" s="19"/>
    </row>
    <row r="151" spans="1:34" s="35" customFormat="1" ht="26.4" x14ac:dyDescent="0.25">
      <c r="A151" s="30" t="s">
        <v>107</v>
      </c>
      <c r="B151" s="124">
        <v>21009573602.799999</v>
      </c>
      <c r="C151" s="124">
        <v>0</v>
      </c>
      <c r="D151" s="124">
        <v>18886076300</v>
      </c>
      <c r="E151" s="125">
        <f>F151+G151+H151</f>
        <v>2123497302.7999997</v>
      </c>
      <c r="F151" s="124">
        <v>1324990788.3399999</v>
      </c>
      <c r="G151" s="124">
        <v>622777014.86000001</v>
      </c>
      <c r="H151" s="124">
        <v>175729499.60000002</v>
      </c>
      <c r="I151" s="124">
        <v>15113864339.379999</v>
      </c>
      <c r="J151" s="124">
        <v>0</v>
      </c>
      <c r="K151" s="124">
        <v>14779499953.809999</v>
      </c>
      <c r="L151" s="125">
        <f>M151+N151+O151</f>
        <v>334364385.56999999</v>
      </c>
      <c r="M151" s="124">
        <v>156580845.5</v>
      </c>
      <c r="N151" s="124">
        <v>156661297.61000001</v>
      </c>
      <c r="O151" s="124">
        <v>21122242.459999997</v>
      </c>
      <c r="P151" s="31">
        <f t="shared" ref="P151:P162" si="182">B151/1000000</f>
        <v>21009.573602799999</v>
      </c>
      <c r="Q151" s="31">
        <f t="shared" ref="Q151:S160" si="183">D151/1000000</f>
        <v>18886.076300000001</v>
      </c>
      <c r="R151" s="31">
        <f>E151/1000000</f>
        <v>2123.4973027999995</v>
      </c>
      <c r="S151" s="31">
        <f>F151/1000000</f>
        <v>1324.9907883399999</v>
      </c>
      <c r="T151" s="31">
        <f t="shared" ref="T151:V160" si="184">G151/1000000</f>
        <v>622.77701486000001</v>
      </c>
      <c r="U151" s="31">
        <f t="shared" si="184"/>
        <v>175.72949960000003</v>
      </c>
      <c r="V151" s="31">
        <f t="shared" si="184"/>
        <v>15113.864339379999</v>
      </c>
      <c r="W151" s="31">
        <f t="shared" ref="W151:Y160" si="185">K151/1000000</f>
        <v>14779.49995381</v>
      </c>
      <c r="X151" s="31">
        <f>L151/1000000</f>
        <v>334.36438556999997</v>
      </c>
      <c r="Y151" s="31">
        <f>M151/1000000</f>
        <v>156.58084550000001</v>
      </c>
      <c r="Z151" s="31">
        <f t="shared" ref="Z151:AA160" si="186">N151/1000000</f>
        <v>156.66129761000002</v>
      </c>
      <c r="AA151" s="31">
        <f t="shared" si="186"/>
        <v>21.122242459999999</v>
      </c>
      <c r="AB151" s="43" t="s">
        <v>31</v>
      </c>
      <c r="AC151" s="43" t="s">
        <v>31</v>
      </c>
      <c r="AD151" s="43" t="s">
        <v>31</v>
      </c>
      <c r="AE151" s="43" t="s">
        <v>31</v>
      </c>
      <c r="AF151" s="43" t="s">
        <v>31</v>
      </c>
      <c r="AG151" s="91" t="s">
        <v>31</v>
      </c>
      <c r="AH151" s="78"/>
    </row>
    <row r="152" spans="1:34" s="35" customFormat="1" x14ac:dyDescent="0.25">
      <c r="A152" s="36" t="s">
        <v>108</v>
      </c>
      <c r="B152" s="124">
        <v>5367515961.7299995</v>
      </c>
      <c r="C152" s="124">
        <v>0</v>
      </c>
      <c r="D152" s="124">
        <v>4484484000</v>
      </c>
      <c r="E152" s="125">
        <f t="shared" ref="E152:E159" si="187">F152+G152+H152</f>
        <v>883031961.73000002</v>
      </c>
      <c r="F152" s="124">
        <v>747889142.63999999</v>
      </c>
      <c r="G152" s="124">
        <v>112636257.95999999</v>
      </c>
      <c r="H152" s="124">
        <v>22506561.129999999</v>
      </c>
      <c r="I152" s="124">
        <v>4046087700</v>
      </c>
      <c r="J152" s="124">
        <v>0</v>
      </c>
      <c r="K152" s="124">
        <v>3700056000</v>
      </c>
      <c r="L152" s="126">
        <f t="shared" ref="L152:L159" si="188">M152+N152+O152</f>
        <v>346031700</v>
      </c>
      <c r="M152" s="124">
        <v>256834500</v>
      </c>
      <c r="N152" s="124">
        <v>80925200</v>
      </c>
      <c r="O152" s="124">
        <v>8272000</v>
      </c>
      <c r="P152" s="27">
        <f t="shared" si="182"/>
        <v>5367.5159617299996</v>
      </c>
      <c r="Q152" s="27">
        <f t="shared" si="183"/>
        <v>4484.4840000000004</v>
      </c>
      <c r="R152" s="27">
        <f t="shared" si="183"/>
        <v>883.03196173000003</v>
      </c>
      <c r="S152" s="27">
        <f t="shared" si="183"/>
        <v>747.88914263999993</v>
      </c>
      <c r="T152" s="27">
        <f t="shared" si="184"/>
        <v>112.63625795999999</v>
      </c>
      <c r="U152" s="27">
        <f t="shared" si="184"/>
        <v>22.506561129999998</v>
      </c>
      <c r="V152" s="27">
        <f t="shared" si="184"/>
        <v>4046.0877</v>
      </c>
      <c r="W152" s="27">
        <f t="shared" si="185"/>
        <v>3700.056</v>
      </c>
      <c r="X152" s="27">
        <f t="shared" si="185"/>
        <v>346.0317</v>
      </c>
      <c r="Y152" s="27">
        <f t="shared" si="185"/>
        <v>256.83449999999999</v>
      </c>
      <c r="Z152" s="27">
        <f t="shared" si="186"/>
        <v>80.925200000000004</v>
      </c>
      <c r="AA152" s="27">
        <f t="shared" si="186"/>
        <v>8.2720000000000002</v>
      </c>
      <c r="AB152" s="43" t="s">
        <v>31</v>
      </c>
      <c r="AC152" s="43" t="s">
        <v>31</v>
      </c>
      <c r="AD152" s="43" t="s">
        <v>31</v>
      </c>
      <c r="AE152" s="43" t="s">
        <v>31</v>
      </c>
      <c r="AF152" s="43" t="s">
        <v>31</v>
      </c>
      <c r="AG152" s="91" t="s">
        <v>31</v>
      </c>
      <c r="AH152" s="78"/>
    </row>
    <row r="153" spans="1:34" s="35" customFormat="1" x14ac:dyDescent="0.25">
      <c r="A153" s="36" t="s">
        <v>109</v>
      </c>
      <c r="B153" s="124">
        <v>-3504883000</v>
      </c>
      <c r="C153" s="124">
        <v>0</v>
      </c>
      <c r="D153" s="124">
        <v>-3504883000</v>
      </c>
      <c r="E153" s="125">
        <f t="shared" si="187"/>
        <v>0</v>
      </c>
      <c r="F153" s="124">
        <v>0</v>
      </c>
      <c r="G153" s="124">
        <v>0</v>
      </c>
      <c r="H153" s="124">
        <v>0</v>
      </c>
      <c r="I153" s="124">
        <v>5000000000</v>
      </c>
      <c r="J153" s="124">
        <v>0</v>
      </c>
      <c r="K153" s="124">
        <v>5000000000</v>
      </c>
      <c r="L153" s="126">
        <f t="shared" si="188"/>
        <v>0</v>
      </c>
      <c r="M153" s="124">
        <v>0</v>
      </c>
      <c r="N153" s="124">
        <v>0</v>
      </c>
      <c r="O153" s="124">
        <v>0</v>
      </c>
      <c r="P153" s="27">
        <f t="shared" si="182"/>
        <v>-3504.8829999999998</v>
      </c>
      <c r="Q153" s="27">
        <f t="shared" si="183"/>
        <v>-3504.8829999999998</v>
      </c>
      <c r="R153" s="27">
        <f t="shared" si="183"/>
        <v>0</v>
      </c>
      <c r="S153" s="27">
        <f t="shared" si="183"/>
        <v>0</v>
      </c>
      <c r="T153" s="27">
        <f t="shared" si="184"/>
        <v>0</v>
      </c>
      <c r="U153" s="27">
        <f t="shared" si="184"/>
        <v>0</v>
      </c>
      <c r="V153" s="27">
        <f t="shared" si="184"/>
        <v>5000</v>
      </c>
      <c r="W153" s="27">
        <f t="shared" si="185"/>
        <v>5000</v>
      </c>
      <c r="X153" s="27">
        <f t="shared" si="185"/>
        <v>0</v>
      </c>
      <c r="Y153" s="27">
        <f t="shared" si="185"/>
        <v>0</v>
      </c>
      <c r="Z153" s="27">
        <f t="shared" si="186"/>
        <v>0</v>
      </c>
      <c r="AA153" s="27">
        <f t="shared" si="186"/>
        <v>0</v>
      </c>
      <c r="AB153" s="43" t="s">
        <v>31</v>
      </c>
      <c r="AC153" s="43" t="s">
        <v>31</v>
      </c>
      <c r="AD153" s="43" t="s">
        <v>31</v>
      </c>
      <c r="AE153" s="43" t="s">
        <v>31</v>
      </c>
      <c r="AF153" s="43" t="s">
        <v>31</v>
      </c>
      <c r="AG153" s="40" t="s">
        <v>31</v>
      </c>
      <c r="AH153" s="78"/>
    </row>
    <row r="154" spans="1:34" s="35" customFormat="1" ht="26.4" x14ac:dyDescent="0.25">
      <c r="A154" s="36" t="s">
        <v>413</v>
      </c>
      <c r="B154" s="124"/>
      <c r="C154" s="124"/>
      <c r="D154" s="124"/>
      <c r="E154" s="125">
        <f t="shared" si="187"/>
        <v>0</v>
      </c>
      <c r="F154" s="124"/>
      <c r="G154" s="124"/>
      <c r="H154" s="124"/>
      <c r="I154" s="124"/>
      <c r="J154" s="124"/>
      <c r="K154" s="124"/>
      <c r="L154" s="126">
        <f t="shared" si="188"/>
        <v>0</v>
      </c>
      <c r="M154" s="124"/>
      <c r="N154" s="124"/>
      <c r="O154" s="124"/>
      <c r="P154" s="27">
        <f t="shared" ref="P154" si="189">B154/1000000</f>
        <v>0</v>
      </c>
      <c r="Q154" s="27">
        <f t="shared" ref="Q154" si="190">D154/1000000</f>
        <v>0</v>
      </c>
      <c r="R154" s="27">
        <f t="shared" ref="R154" si="191">E154/1000000</f>
        <v>0</v>
      </c>
      <c r="S154" s="27">
        <f t="shared" ref="S154" si="192">F154/1000000</f>
        <v>0</v>
      </c>
      <c r="T154" s="27">
        <f t="shared" ref="T154" si="193">G154/1000000</f>
        <v>0</v>
      </c>
      <c r="U154" s="27">
        <f t="shared" ref="U154" si="194">H154/1000000</f>
        <v>0</v>
      </c>
      <c r="V154" s="27">
        <f t="shared" ref="V154" si="195">I154/1000000</f>
        <v>0</v>
      </c>
      <c r="W154" s="27">
        <f t="shared" ref="W154" si="196">K154/1000000</f>
        <v>0</v>
      </c>
      <c r="X154" s="27">
        <f t="shared" ref="X154" si="197">L154/1000000</f>
        <v>0</v>
      </c>
      <c r="Y154" s="27">
        <f t="shared" ref="Y154" si="198">M154/1000000</f>
        <v>0</v>
      </c>
      <c r="Z154" s="27">
        <f t="shared" ref="Z154" si="199">N154/1000000</f>
        <v>0</v>
      </c>
      <c r="AA154" s="27">
        <f t="shared" ref="AA154" si="200">O154/1000000</f>
        <v>0</v>
      </c>
      <c r="AB154" s="43" t="s">
        <v>31</v>
      </c>
      <c r="AC154" s="43" t="s">
        <v>31</v>
      </c>
      <c r="AD154" s="43" t="s">
        <v>31</v>
      </c>
      <c r="AE154" s="43" t="s">
        <v>31</v>
      </c>
      <c r="AF154" s="43" t="s">
        <v>31</v>
      </c>
      <c r="AG154" s="40" t="s">
        <v>31</v>
      </c>
      <c r="AH154" s="78"/>
    </row>
    <row r="155" spans="1:34" s="35" customFormat="1" ht="26.4" x14ac:dyDescent="0.25">
      <c r="A155" s="36" t="s">
        <v>110</v>
      </c>
      <c r="B155" s="124">
        <v>1362681000</v>
      </c>
      <c r="C155" s="124">
        <v>0</v>
      </c>
      <c r="D155" s="124">
        <v>1282495000</v>
      </c>
      <c r="E155" s="125">
        <f t="shared" si="187"/>
        <v>80186000</v>
      </c>
      <c r="F155" s="124">
        <v>80186000</v>
      </c>
      <c r="G155" s="124">
        <v>0</v>
      </c>
      <c r="H155" s="124">
        <v>0</v>
      </c>
      <c r="I155" s="124">
        <v>913340100</v>
      </c>
      <c r="J155" s="124">
        <v>0</v>
      </c>
      <c r="K155" s="124">
        <v>763704000</v>
      </c>
      <c r="L155" s="126">
        <f t="shared" si="188"/>
        <v>149636100</v>
      </c>
      <c r="M155" s="124">
        <v>149636100</v>
      </c>
      <c r="N155" s="124">
        <v>0</v>
      </c>
      <c r="O155" s="124">
        <v>0</v>
      </c>
      <c r="P155" s="27">
        <f t="shared" si="182"/>
        <v>1362.681</v>
      </c>
      <c r="Q155" s="27">
        <f t="shared" si="183"/>
        <v>1282.4949999999999</v>
      </c>
      <c r="R155" s="27">
        <f t="shared" si="183"/>
        <v>80.186000000000007</v>
      </c>
      <c r="S155" s="27">
        <f t="shared" si="183"/>
        <v>80.186000000000007</v>
      </c>
      <c r="T155" s="27">
        <f t="shared" si="184"/>
        <v>0</v>
      </c>
      <c r="U155" s="27">
        <f t="shared" si="184"/>
        <v>0</v>
      </c>
      <c r="V155" s="27">
        <f t="shared" si="184"/>
        <v>913.34010000000001</v>
      </c>
      <c r="W155" s="27">
        <f t="shared" si="185"/>
        <v>763.70399999999995</v>
      </c>
      <c r="X155" s="27">
        <f t="shared" si="185"/>
        <v>149.6361</v>
      </c>
      <c r="Y155" s="27">
        <f t="shared" si="185"/>
        <v>149.6361</v>
      </c>
      <c r="Z155" s="27">
        <f t="shared" si="186"/>
        <v>0</v>
      </c>
      <c r="AA155" s="27">
        <f t="shared" si="186"/>
        <v>0</v>
      </c>
      <c r="AB155" s="43" t="s">
        <v>31</v>
      </c>
      <c r="AC155" s="43" t="s">
        <v>31</v>
      </c>
      <c r="AD155" s="43" t="s">
        <v>31</v>
      </c>
      <c r="AE155" s="43" t="s">
        <v>31</v>
      </c>
      <c r="AF155" s="43" t="s">
        <v>31</v>
      </c>
      <c r="AG155" s="40" t="s">
        <v>31</v>
      </c>
      <c r="AH155" s="78"/>
    </row>
    <row r="156" spans="1:34" s="35" customFormat="1" ht="26.4" x14ac:dyDescent="0.25">
      <c r="A156" s="36" t="s">
        <v>111</v>
      </c>
      <c r="B156" s="124"/>
      <c r="C156" s="124"/>
      <c r="D156" s="124"/>
      <c r="E156" s="125">
        <f t="shared" si="187"/>
        <v>0</v>
      </c>
      <c r="F156" s="124"/>
      <c r="G156" s="124"/>
      <c r="H156" s="124"/>
      <c r="I156" s="124"/>
      <c r="J156" s="124"/>
      <c r="K156" s="124"/>
      <c r="L156" s="126">
        <f t="shared" si="188"/>
        <v>0</v>
      </c>
      <c r="M156" s="124"/>
      <c r="N156" s="124"/>
      <c r="O156" s="124"/>
      <c r="P156" s="27">
        <f t="shared" si="182"/>
        <v>0</v>
      </c>
      <c r="Q156" s="27">
        <f t="shared" si="183"/>
        <v>0</v>
      </c>
      <c r="R156" s="27">
        <f t="shared" si="183"/>
        <v>0</v>
      </c>
      <c r="S156" s="27">
        <f t="shared" si="183"/>
        <v>0</v>
      </c>
      <c r="T156" s="27">
        <f t="shared" si="184"/>
        <v>0</v>
      </c>
      <c r="U156" s="27">
        <f t="shared" si="184"/>
        <v>0</v>
      </c>
      <c r="V156" s="27">
        <f t="shared" si="184"/>
        <v>0</v>
      </c>
      <c r="W156" s="27">
        <f t="shared" si="185"/>
        <v>0</v>
      </c>
      <c r="X156" s="27">
        <f t="shared" si="185"/>
        <v>0</v>
      </c>
      <c r="Y156" s="27">
        <f t="shared" si="185"/>
        <v>0</v>
      </c>
      <c r="Z156" s="27">
        <f t="shared" si="186"/>
        <v>0</v>
      </c>
      <c r="AA156" s="27">
        <f t="shared" si="186"/>
        <v>0</v>
      </c>
      <c r="AB156" s="43" t="s">
        <v>31</v>
      </c>
      <c r="AC156" s="43" t="s">
        <v>31</v>
      </c>
      <c r="AD156" s="43" t="s">
        <v>31</v>
      </c>
      <c r="AE156" s="43" t="s">
        <v>31</v>
      </c>
      <c r="AF156" s="43" t="s">
        <v>31</v>
      </c>
      <c r="AG156" s="40" t="s">
        <v>31</v>
      </c>
      <c r="AH156" s="78"/>
    </row>
    <row r="157" spans="1:34" s="35" customFormat="1" ht="26.4" x14ac:dyDescent="0.25">
      <c r="A157" s="36" t="s">
        <v>503</v>
      </c>
      <c r="B157" s="124"/>
      <c r="C157" s="124"/>
      <c r="D157" s="124"/>
      <c r="E157" s="125">
        <f t="shared" si="187"/>
        <v>0</v>
      </c>
      <c r="F157" s="124"/>
      <c r="G157" s="124"/>
      <c r="H157" s="124"/>
      <c r="I157" s="124"/>
      <c r="J157" s="124"/>
      <c r="K157" s="124"/>
      <c r="L157" s="126">
        <f t="shared" si="188"/>
        <v>0</v>
      </c>
      <c r="M157" s="124"/>
      <c r="N157" s="124"/>
      <c r="O157" s="124"/>
      <c r="P157" s="27">
        <f t="shared" si="182"/>
        <v>0</v>
      </c>
      <c r="Q157" s="27">
        <f t="shared" si="183"/>
        <v>0</v>
      </c>
      <c r="R157" s="27">
        <f t="shared" si="183"/>
        <v>0</v>
      </c>
      <c r="S157" s="27">
        <f t="shared" si="183"/>
        <v>0</v>
      </c>
      <c r="T157" s="27">
        <f t="shared" si="184"/>
        <v>0</v>
      </c>
      <c r="U157" s="27">
        <f t="shared" si="184"/>
        <v>0</v>
      </c>
      <c r="V157" s="27">
        <f t="shared" si="184"/>
        <v>0</v>
      </c>
      <c r="W157" s="27">
        <f t="shared" si="185"/>
        <v>0</v>
      </c>
      <c r="X157" s="27">
        <f t="shared" si="185"/>
        <v>0</v>
      </c>
      <c r="Y157" s="27">
        <f t="shared" si="185"/>
        <v>0</v>
      </c>
      <c r="Z157" s="27">
        <f t="shared" si="186"/>
        <v>0</v>
      </c>
      <c r="AA157" s="27">
        <f t="shared" si="186"/>
        <v>0</v>
      </c>
      <c r="AB157" s="43" t="s">
        <v>31</v>
      </c>
      <c r="AC157" s="43" t="s">
        <v>31</v>
      </c>
      <c r="AD157" s="43" t="s">
        <v>31</v>
      </c>
      <c r="AE157" s="43" t="s">
        <v>31</v>
      </c>
      <c r="AF157" s="43" t="s">
        <v>31</v>
      </c>
      <c r="AG157" s="40" t="s">
        <v>31</v>
      </c>
      <c r="AH157" s="78"/>
    </row>
    <row r="158" spans="1:34" s="35" customFormat="1" ht="26.4" x14ac:dyDescent="0.25">
      <c r="A158" s="36" t="s">
        <v>113</v>
      </c>
      <c r="B158" s="124">
        <v>-308776900</v>
      </c>
      <c r="C158" s="124">
        <v>0</v>
      </c>
      <c r="D158" s="124">
        <v>-308776900</v>
      </c>
      <c r="E158" s="125">
        <f t="shared" si="187"/>
        <v>0</v>
      </c>
      <c r="F158" s="124">
        <v>0</v>
      </c>
      <c r="G158" s="124">
        <v>0</v>
      </c>
      <c r="H158" s="124">
        <v>0</v>
      </c>
      <c r="I158" s="124">
        <v>1145476457.8299999</v>
      </c>
      <c r="J158" s="124">
        <v>0</v>
      </c>
      <c r="K158" s="124">
        <v>1123988951.51</v>
      </c>
      <c r="L158" s="126">
        <f t="shared" si="188"/>
        <v>21487506.32</v>
      </c>
      <c r="M158" s="124">
        <v>21487506.32</v>
      </c>
      <c r="N158" s="124">
        <v>0</v>
      </c>
      <c r="O158" s="124">
        <v>0</v>
      </c>
      <c r="P158" s="27">
        <f t="shared" si="182"/>
        <v>-308.77690000000001</v>
      </c>
      <c r="Q158" s="27">
        <f t="shared" si="183"/>
        <v>-308.77690000000001</v>
      </c>
      <c r="R158" s="27">
        <f t="shared" si="183"/>
        <v>0</v>
      </c>
      <c r="S158" s="27">
        <f t="shared" si="183"/>
        <v>0</v>
      </c>
      <c r="T158" s="27">
        <f t="shared" si="184"/>
        <v>0</v>
      </c>
      <c r="U158" s="27">
        <f t="shared" si="184"/>
        <v>0</v>
      </c>
      <c r="V158" s="27">
        <f t="shared" si="184"/>
        <v>1145.4764578299998</v>
      </c>
      <c r="W158" s="27">
        <f t="shared" si="185"/>
        <v>1123.9889515099999</v>
      </c>
      <c r="X158" s="27">
        <f t="shared" si="185"/>
        <v>21.487506320000001</v>
      </c>
      <c r="Y158" s="27">
        <f t="shared" si="185"/>
        <v>21.487506320000001</v>
      </c>
      <c r="Z158" s="27">
        <f t="shared" si="186"/>
        <v>0</v>
      </c>
      <c r="AA158" s="27">
        <f t="shared" si="186"/>
        <v>0</v>
      </c>
      <c r="AB158" s="43" t="s">
        <v>31</v>
      </c>
      <c r="AC158" s="43" t="s">
        <v>31</v>
      </c>
      <c r="AD158" s="43" t="s">
        <v>31</v>
      </c>
      <c r="AE158" s="43" t="s">
        <v>31</v>
      </c>
      <c r="AF158" s="43" t="s">
        <v>31</v>
      </c>
      <c r="AG158" s="40" t="s">
        <v>31</v>
      </c>
      <c r="AH158" s="78"/>
    </row>
    <row r="159" spans="1:34" s="35" customFormat="1" ht="13.8" thickBot="1" x14ac:dyDescent="0.3">
      <c r="A159" s="127" t="s">
        <v>114</v>
      </c>
      <c r="B159" s="128">
        <v>7037809541.0699997</v>
      </c>
      <c r="C159" s="128">
        <v>0</v>
      </c>
      <c r="D159" s="128">
        <v>5877530200</v>
      </c>
      <c r="E159" s="125">
        <f t="shared" si="187"/>
        <v>1160279341.0699999</v>
      </c>
      <c r="F159" s="128">
        <v>496915645.69999999</v>
      </c>
      <c r="G159" s="128">
        <v>510140756.89999998</v>
      </c>
      <c r="H159" s="128">
        <v>153222938.47</v>
      </c>
      <c r="I159" s="128">
        <v>4008960081.5500002</v>
      </c>
      <c r="J159" s="128">
        <v>0</v>
      </c>
      <c r="K159" s="128">
        <v>4191751002.3000002</v>
      </c>
      <c r="L159" s="129">
        <f t="shared" si="188"/>
        <v>-182790920.74999997</v>
      </c>
      <c r="M159" s="128">
        <v>-271377260.81999999</v>
      </c>
      <c r="N159" s="128">
        <v>75736097.609999999</v>
      </c>
      <c r="O159" s="128">
        <v>12850242.459999997</v>
      </c>
      <c r="P159" s="130">
        <f t="shared" si="182"/>
        <v>7037.8095410699998</v>
      </c>
      <c r="Q159" s="130">
        <f t="shared" si="183"/>
        <v>5877.5302000000001</v>
      </c>
      <c r="R159" s="130">
        <f t="shared" si="183"/>
        <v>1160.2793410699999</v>
      </c>
      <c r="S159" s="130">
        <f t="shared" si="183"/>
        <v>496.91564569999997</v>
      </c>
      <c r="T159" s="130">
        <f t="shared" si="184"/>
        <v>510.14075689999999</v>
      </c>
      <c r="U159" s="130">
        <f t="shared" si="184"/>
        <v>153.22293847</v>
      </c>
      <c r="V159" s="130">
        <f t="shared" si="184"/>
        <v>4008.9600815500003</v>
      </c>
      <c r="W159" s="130">
        <f t="shared" si="185"/>
        <v>4191.7510023000004</v>
      </c>
      <c r="X159" s="130">
        <f t="shared" si="185"/>
        <v>-182.79092074999997</v>
      </c>
      <c r="Y159" s="130">
        <f t="shared" si="185"/>
        <v>-271.37726082</v>
      </c>
      <c r="Z159" s="130">
        <f t="shared" si="186"/>
        <v>75.736097610000002</v>
      </c>
      <c r="AA159" s="130">
        <f t="shared" si="186"/>
        <v>12.850242459999997</v>
      </c>
      <c r="AB159" s="415" t="s">
        <v>31</v>
      </c>
      <c r="AC159" s="415" t="s">
        <v>31</v>
      </c>
      <c r="AD159" s="415" t="s">
        <v>31</v>
      </c>
      <c r="AE159" s="415" t="s">
        <v>31</v>
      </c>
      <c r="AF159" s="415" t="s">
        <v>31</v>
      </c>
      <c r="AG159" s="416" t="s">
        <v>31</v>
      </c>
      <c r="AH159" s="78"/>
    </row>
    <row r="160" spans="1:34" s="35" customFormat="1" ht="13.8" hidden="1" thickTop="1" x14ac:dyDescent="0.25">
      <c r="A160" s="132" t="s">
        <v>102</v>
      </c>
      <c r="B160" s="124">
        <f t="shared" ref="B160:O160" si="201">+B143+B151</f>
        <v>0</v>
      </c>
      <c r="C160" s="124">
        <f t="shared" si="201"/>
        <v>0</v>
      </c>
      <c r="D160" s="124">
        <f t="shared" si="201"/>
        <v>0</v>
      </c>
      <c r="E160" s="124">
        <f t="shared" si="201"/>
        <v>0</v>
      </c>
      <c r="F160" s="124">
        <f t="shared" si="201"/>
        <v>0</v>
      </c>
      <c r="G160" s="124">
        <f t="shared" si="201"/>
        <v>0</v>
      </c>
      <c r="H160" s="124">
        <f t="shared" si="201"/>
        <v>0</v>
      </c>
      <c r="I160" s="124">
        <f t="shared" si="201"/>
        <v>0</v>
      </c>
      <c r="J160" s="124">
        <f t="shared" si="201"/>
        <v>0</v>
      </c>
      <c r="K160" s="124">
        <f t="shared" si="201"/>
        <v>0</v>
      </c>
      <c r="L160" s="124">
        <f t="shared" si="201"/>
        <v>0</v>
      </c>
      <c r="M160" s="124">
        <f t="shared" si="201"/>
        <v>0</v>
      </c>
      <c r="N160" s="124">
        <f t="shared" si="201"/>
        <v>0</v>
      </c>
      <c r="O160" s="124">
        <f t="shared" si="201"/>
        <v>0</v>
      </c>
      <c r="P160" s="133">
        <f t="shared" si="182"/>
        <v>0</v>
      </c>
      <c r="Q160" s="133">
        <f t="shared" si="183"/>
        <v>0</v>
      </c>
      <c r="R160" s="133">
        <f t="shared" si="183"/>
        <v>0</v>
      </c>
      <c r="S160" s="133">
        <f t="shared" si="183"/>
        <v>0</v>
      </c>
      <c r="T160" s="133">
        <f t="shared" si="184"/>
        <v>0</v>
      </c>
      <c r="U160" s="133">
        <f t="shared" si="184"/>
        <v>0</v>
      </c>
      <c r="V160" s="133">
        <f t="shared" si="184"/>
        <v>0</v>
      </c>
      <c r="W160" s="133">
        <f t="shared" si="185"/>
        <v>0</v>
      </c>
      <c r="X160" s="133">
        <f t="shared" si="185"/>
        <v>0</v>
      </c>
      <c r="Y160" s="133">
        <f t="shared" si="185"/>
        <v>0</v>
      </c>
      <c r="Z160" s="133">
        <f t="shared" si="186"/>
        <v>0</v>
      </c>
      <c r="AA160" s="133">
        <f t="shared" si="186"/>
        <v>0</v>
      </c>
      <c r="AB160" s="133"/>
      <c r="AC160" s="133"/>
      <c r="AD160" s="133"/>
      <c r="AE160" s="133"/>
      <c r="AF160" s="133"/>
      <c r="AG160" s="134"/>
      <c r="AH160" s="26"/>
    </row>
    <row r="161" spans="1:37" s="35" customFormat="1" hidden="1" x14ac:dyDescent="0.25">
      <c r="A161" s="135"/>
      <c r="B161" s="124">
        <f t="shared" ref="B161:O161" si="202">+B151+B144</f>
        <v>-11184534891.540012</v>
      </c>
      <c r="C161" s="124">
        <f t="shared" si="202"/>
        <v>0</v>
      </c>
      <c r="D161" s="124">
        <f t="shared" si="202"/>
        <v>-8461857024.4300079</v>
      </c>
      <c r="E161" s="124">
        <f t="shared" si="202"/>
        <v>-2722677867.1100106</v>
      </c>
      <c r="F161" s="124">
        <f t="shared" si="202"/>
        <v>-2763610257.3100052</v>
      </c>
      <c r="G161" s="124">
        <f t="shared" si="202"/>
        <v>44035419.189994216</v>
      </c>
      <c r="H161" s="124">
        <f t="shared" si="202"/>
        <v>-3103028.9899991751</v>
      </c>
      <c r="I161" s="124">
        <f t="shared" si="202"/>
        <v>0</v>
      </c>
      <c r="J161" s="124">
        <f t="shared" si="202"/>
        <v>0</v>
      </c>
      <c r="K161" s="124">
        <f t="shared" si="202"/>
        <v>1.71661376953125E-5</v>
      </c>
      <c r="L161" s="124">
        <f t="shared" si="202"/>
        <v>2.6822090148925781E-6</v>
      </c>
      <c r="M161" s="124">
        <f t="shared" si="202"/>
        <v>0</v>
      </c>
      <c r="N161" s="124">
        <f t="shared" si="202"/>
        <v>3.2186508178710938E-6</v>
      </c>
      <c r="O161" s="124">
        <f t="shared" si="202"/>
        <v>-5.1781535148620605E-7</v>
      </c>
      <c r="P161" s="438">
        <f t="shared" si="182"/>
        <v>-11184.534891540012</v>
      </c>
      <c r="Q161" s="438">
        <f t="shared" ref="Q161:Q162" si="203">C161/1000000</f>
        <v>0</v>
      </c>
      <c r="R161" s="438">
        <f t="shared" ref="R161:R162" si="204">D161/1000000</f>
        <v>-8461.8570244300081</v>
      </c>
      <c r="S161" s="438">
        <f t="shared" ref="S161:S162" si="205">E161/1000000</f>
        <v>-2722.6778671100105</v>
      </c>
      <c r="T161" s="438">
        <f t="shared" ref="T161:T162" si="206">F161/1000000</f>
        <v>-2763.6102573100052</v>
      </c>
      <c r="U161" s="438">
        <f t="shared" ref="U161:U162" si="207">G161/1000000</f>
        <v>44.035419189994215</v>
      </c>
      <c r="V161" s="438">
        <f t="shared" ref="V161:V162" si="208">H161/1000000</f>
        <v>-3.1030289899991752</v>
      </c>
      <c r="W161" s="438">
        <f t="shared" ref="W161:W162" si="209">I161/1000000</f>
        <v>0</v>
      </c>
      <c r="X161" s="438">
        <f t="shared" ref="X161:X162" si="210">J161/1000000</f>
        <v>0</v>
      </c>
      <c r="Y161" s="438">
        <f t="shared" ref="Y161:Y162" si="211">K161/1000000</f>
        <v>1.71661376953125E-11</v>
      </c>
      <c r="Z161" s="438">
        <f t="shared" ref="Z161:Z162" si="212">L161/1000000</f>
        <v>2.6822090148925783E-12</v>
      </c>
      <c r="AA161" s="438">
        <f t="shared" ref="AA161:AA162" si="213">M161/1000000</f>
        <v>0</v>
      </c>
      <c r="AB161" s="136"/>
      <c r="AC161" s="136"/>
      <c r="AD161" s="136"/>
      <c r="AE161" s="136"/>
      <c r="AF161" s="136"/>
      <c r="AG161" s="137"/>
      <c r="AH161" s="136"/>
    </row>
    <row r="162" spans="1:37" s="35" customFormat="1" hidden="1" x14ac:dyDescent="0.25">
      <c r="A162" s="135"/>
      <c r="B162" s="124">
        <f>B151-B152-B153-B154-B155-B156-B157-B158-B159</f>
        <v>11055227000</v>
      </c>
      <c r="C162" s="124">
        <f t="shared" ref="C162:O162" si="214">C151-C152-C153-C154-C155-C156-C157-C158-C159</f>
        <v>0</v>
      </c>
      <c r="D162" s="124">
        <f t="shared" si="214"/>
        <v>11055227000</v>
      </c>
      <c r="E162" s="124">
        <f t="shared" si="214"/>
        <v>0</v>
      </c>
      <c r="F162" s="124">
        <f t="shared" si="214"/>
        <v>0</v>
      </c>
      <c r="G162" s="124">
        <f t="shared" si="214"/>
        <v>0</v>
      </c>
      <c r="H162" s="124">
        <f t="shared" si="214"/>
        <v>0</v>
      </c>
      <c r="I162" s="124">
        <f t="shared" si="214"/>
        <v>0</v>
      </c>
      <c r="J162" s="124">
        <f t="shared" si="214"/>
        <v>0</v>
      </c>
      <c r="K162" s="124">
        <f t="shared" si="214"/>
        <v>0</v>
      </c>
      <c r="L162" s="124">
        <f t="shared" si="214"/>
        <v>0</v>
      </c>
      <c r="M162" s="124">
        <f t="shared" si="214"/>
        <v>0</v>
      </c>
      <c r="N162" s="124">
        <f t="shared" si="214"/>
        <v>0</v>
      </c>
      <c r="O162" s="124">
        <f t="shared" si="214"/>
        <v>0</v>
      </c>
      <c r="P162" s="438">
        <f t="shared" si="182"/>
        <v>11055.227000000001</v>
      </c>
      <c r="Q162" s="438">
        <f t="shared" si="203"/>
        <v>0</v>
      </c>
      <c r="R162" s="438">
        <f t="shared" si="204"/>
        <v>11055.227000000001</v>
      </c>
      <c r="S162" s="438">
        <f t="shared" si="205"/>
        <v>0</v>
      </c>
      <c r="T162" s="438">
        <f t="shared" si="206"/>
        <v>0</v>
      </c>
      <c r="U162" s="438">
        <f t="shared" si="207"/>
        <v>0</v>
      </c>
      <c r="V162" s="438">
        <f t="shared" si="208"/>
        <v>0</v>
      </c>
      <c r="W162" s="438">
        <f t="shared" si="209"/>
        <v>0</v>
      </c>
      <c r="X162" s="438">
        <f t="shared" si="210"/>
        <v>0</v>
      </c>
      <c r="Y162" s="438">
        <f t="shared" si="211"/>
        <v>0</v>
      </c>
      <c r="Z162" s="438">
        <f t="shared" si="212"/>
        <v>0</v>
      </c>
      <c r="AA162" s="438">
        <f t="shared" si="213"/>
        <v>0</v>
      </c>
      <c r="AB162" s="136"/>
      <c r="AC162" s="136"/>
      <c r="AD162" s="136"/>
      <c r="AE162" s="136"/>
      <c r="AF162" s="136"/>
      <c r="AG162" s="136"/>
      <c r="AH162" s="136"/>
    </row>
    <row r="163" spans="1:37" s="35" customFormat="1" ht="79.2" hidden="1" x14ac:dyDescent="0.25">
      <c r="A163" s="132" t="s">
        <v>640</v>
      </c>
      <c r="B163" s="124"/>
      <c r="C163" s="124"/>
      <c r="D163" s="124"/>
      <c r="E163" s="124"/>
      <c r="F163" s="124"/>
      <c r="G163" s="124"/>
      <c r="H163" s="124"/>
      <c r="I163" s="124"/>
      <c r="J163" s="124"/>
      <c r="K163" s="124"/>
      <c r="L163" s="124"/>
      <c r="M163" s="124"/>
      <c r="N163" s="124"/>
      <c r="O163" s="124"/>
      <c r="P163" s="124"/>
      <c r="Q163" s="124"/>
      <c r="R163" s="124"/>
      <c r="S163" s="124"/>
      <c r="T163" s="124"/>
      <c r="U163" s="124"/>
      <c r="V163" s="124"/>
      <c r="W163" s="124"/>
      <c r="X163" s="124"/>
      <c r="Y163" s="124"/>
      <c r="Z163" s="124"/>
      <c r="AA163" s="124"/>
      <c r="AB163" s="136"/>
      <c r="AC163" s="136"/>
      <c r="AD163" s="136"/>
      <c r="AE163" s="136"/>
      <c r="AF163" s="136"/>
      <c r="AG163" s="136"/>
      <c r="AH163" s="136"/>
    </row>
    <row r="164" spans="1:37" s="434" customFormat="1" hidden="1" x14ac:dyDescent="0.25">
      <c r="A164" s="132"/>
      <c r="B164" s="124"/>
      <c r="C164" s="124"/>
      <c r="D164" s="124"/>
      <c r="E164" s="124"/>
      <c r="F164" s="124"/>
      <c r="G164" s="124"/>
      <c r="H164" s="124"/>
      <c r="I164" s="124"/>
      <c r="J164" s="124"/>
      <c r="K164" s="124"/>
      <c r="L164" s="124"/>
      <c r="M164" s="124"/>
      <c r="N164" s="124"/>
      <c r="O164" s="124"/>
      <c r="P164" s="124"/>
      <c r="Q164" s="124"/>
      <c r="R164" s="124"/>
      <c r="S164" s="124"/>
      <c r="T164" s="124"/>
      <c r="U164" s="124"/>
      <c r="V164" s="124"/>
      <c r="W164" s="124"/>
      <c r="X164" s="124"/>
      <c r="Y164" s="124"/>
      <c r="Z164" s="124"/>
      <c r="AA164" s="124"/>
      <c r="AB164" s="136"/>
      <c r="AC164" s="136"/>
      <c r="AD164" s="136"/>
      <c r="AE164" s="136"/>
      <c r="AF164" s="136"/>
      <c r="AG164" s="136"/>
      <c r="AH164" s="136"/>
    </row>
    <row r="165" spans="1:37" s="35" customFormat="1" hidden="1" x14ac:dyDescent="0.25">
      <c r="A165" s="135"/>
      <c r="B165" s="124"/>
      <c r="C165" s="124"/>
      <c r="D165" s="124"/>
      <c r="E165" s="124"/>
      <c r="F165" s="124"/>
      <c r="G165" s="124"/>
      <c r="H165" s="124"/>
      <c r="I165" s="124"/>
      <c r="J165" s="124"/>
      <c r="K165" s="124"/>
      <c r="L165" s="124"/>
      <c r="M165" s="124"/>
      <c r="N165" s="124"/>
      <c r="O165" s="124"/>
      <c r="P165" s="124"/>
      <c r="Q165" s="124"/>
      <c r="R165" s="124"/>
      <c r="S165" s="124"/>
      <c r="T165" s="124"/>
      <c r="U165" s="124"/>
      <c r="V165" s="124"/>
      <c r="W165" s="124"/>
      <c r="X165" s="124"/>
      <c r="Y165" s="124"/>
      <c r="Z165" s="124"/>
      <c r="AA165" s="124"/>
      <c r="AB165" s="136"/>
      <c r="AC165" s="136"/>
      <c r="AD165" s="136"/>
      <c r="AE165" s="136"/>
      <c r="AF165" s="136"/>
      <c r="AG165" s="136"/>
      <c r="AH165" s="136"/>
    </row>
    <row r="166" spans="1:37" s="138" customFormat="1" ht="15.6" customHeight="1" thickTop="1" thickBot="1" x14ac:dyDescent="0.3">
      <c r="A166" s="984" t="s">
        <v>115</v>
      </c>
      <c r="B166" s="984"/>
      <c r="C166" s="984"/>
      <c r="D166" s="984"/>
      <c r="E166" s="984"/>
      <c r="F166" s="984"/>
      <c r="G166" s="984"/>
      <c r="H166" s="984"/>
      <c r="I166" s="984"/>
      <c r="J166" s="984"/>
      <c r="K166" s="984"/>
      <c r="L166" s="984"/>
      <c r="M166" s="984"/>
      <c r="N166" s="984"/>
      <c r="O166" s="984"/>
      <c r="P166" s="984"/>
      <c r="Q166" s="984"/>
      <c r="R166" s="984"/>
      <c r="S166" s="984"/>
      <c r="T166" s="984"/>
      <c r="U166" s="984"/>
      <c r="V166" s="984"/>
      <c r="W166" s="984"/>
      <c r="X166" s="984"/>
      <c r="Y166" s="984"/>
      <c r="Z166" s="984"/>
      <c r="AA166" s="984"/>
      <c r="AB166" s="984"/>
      <c r="AC166" s="984"/>
      <c r="AD166" s="984"/>
      <c r="AE166" s="984"/>
      <c r="AF166" s="984"/>
      <c r="AG166" s="984"/>
      <c r="AH166" s="333"/>
    </row>
    <row r="167" spans="1:37" s="138" customFormat="1" ht="13.8" thickTop="1" x14ac:dyDescent="0.25">
      <c r="A167" s="977" t="s">
        <v>1</v>
      </c>
      <c r="B167" s="979" t="s">
        <v>536</v>
      </c>
      <c r="C167" s="979"/>
      <c r="D167" s="979"/>
      <c r="E167" s="979"/>
      <c r="F167" s="979"/>
      <c r="G167" s="979"/>
      <c r="H167" s="979"/>
      <c r="I167" s="979" t="s">
        <v>626</v>
      </c>
      <c r="J167" s="979"/>
      <c r="K167" s="979"/>
      <c r="L167" s="979"/>
      <c r="M167" s="979"/>
      <c r="N167" s="979"/>
      <c r="O167" s="979"/>
      <c r="P167" s="979" t="s">
        <v>537</v>
      </c>
      <c r="Q167" s="979"/>
      <c r="R167" s="979"/>
      <c r="S167" s="979"/>
      <c r="T167" s="979"/>
      <c r="U167" s="979"/>
      <c r="V167" s="979" t="s">
        <v>627</v>
      </c>
      <c r="W167" s="979"/>
      <c r="X167" s="979"/>
      <c r="Y167" s="979"/>
      <c r="Z167" s="979"/>
      <c r="AA167" s="979"/>
      <c r="AB167" s="979" t="s">
        <v>116</v>
      </c>
      <c r="AC167" s="979"/>
      <c r="AD167" s="979"/>
      <c r="AE167" s="979"/>
      <c r="AF167" s="979"/>
      <c r="AG167" s="980"/>
      <c r="AH167" s="9"/>
    </row>
    <row r="168" spans="1:37" s="138" customFormat="1" x14ac:dyDescent="0.25">
      <c r="A168" s="978"/>
      <c r="B168" s="973" t="s">
        <v>3</v>
      </c>
      <c r="C168" s="972" t="s">
        <v>4</v>
      </c>
      <c r="D168" s="972"/>
      <c r="E168" s="972"/>
      <c r="F168" s="972"/>
      <c r="G168" s="972"/>
      <c r="H168" s="972"/>
      <c r="I168" s="973" t="s">
        <v>3</v>
      </c>
      <c r="J168" s="331"/>
      <c r="K168" s="972" t="s">
        <v>4</v>
      </c>
      <c r="L168" s="972"/>
      <c r="M168" s="972"/>
      <c r="N168" s="972"/>
      <c r="O168" s="972"/>
      <c r="P168" s="973" t="s">
        <v>3</v>
      </c>
      <c r="Q168" s="972" t="s">
        <v>5</v>
      </c>
      <c r="R168" s="972"/>
      <c r="S168" s="972"/>
      <c r="T168" s="972"/>
      <c r="U168" s="972"/>
      <c r="V168" s="973" t="s">
        <v>3</v>
      </c>
      <c r="W168" s="972" t="s">
        <v>5</v>
      </c>
      <c r="X168" s="972"/>
      <c r="Y168" s="972"/>
      <c r="Z168" s="972"/>
      <c r="AA168" s="972"/>
      <c r="AB168" s="973" t="s">
        <v>3</v>
      </c>
      <c r="AC168" s="972" t="s">
        <v>5</v>
      </c>
      <c r="AD168" s="972"/>
      <c r="AE168" s="972"/>
      <c r="AF168" s="972"/>
      <c r="AG168" s="974"/>
      <c r="AH168" s="9"/>
    </row>
    <row r="169" spans="1:37" s="138" customFormat="1" x14ac:dyDescent="0.25">
      <c r="A169" s="978"/>
      <c r="B169" s="973"/>
      <c r="C169" s="983" t="s">
        <v>6</v>
      </c>
      <c r="D169" s="973" t="s">
        <v>7</v>
      </c>
      <c r="E169" s="973" t="s">
        <v>8</v>
      </c>
      <c r="F169" s="976" t="s">
        <v>9</v>
      </c>
      <c r="G169" s="976"/>
      <c r="H169" s="976"/>
      <c r="I169" s="973"/>
      <c r="J169" s="983" t="s">
        <v>6</v>
      </c>
      <c r="K169" s="973" t="s">
        <v>7</v>
      </c>
      <c r="L169" s="973" t="s">
        <v>8</v>
      </c>
      <c r="M169" s="976" t="s">
        <v>9</v>
      </c>
      <c r="N169" s="976"/>
      <c r="O169" s="976"/>
      <c r="P169" s="973"/>
      <c r="Q169" s="973" t="s">
        <v>7</v>
      </c>
      <c r="R169" s="975" t="s">
        <v>8</v>
      </c>
      <c r="S169" s="976" t="s">
        <v>9</v>
      </c>
      <c r="T169" s="976"/>
      <c r="U169" s="976"/>
      <c r="V169" s="973"/>
      <c r="W169" s="973" t="s">
        <v>7</v>
      </c>
      <c r="X169" s="975" t="s">
        <v>8</v>
      </c>
      <c r="Y169" s="976" t="s">
        <v>9</v>
      </c>
      <c r="Z169" s="976"/>
      <c r="AA169" s="976"/>
      <c r="AB169" s="973"/>
      <c r="AC169" s="975" t="s">
        <v>7</v>
      </c>
      <c r="AD169" s="975" t="s">
        <v>8</v>
      </c>
      <c r="AE169" s="981" t="s">
        <v>9</v>
      </c>
      <c r="AF169" s="981"/>
      <c r="AG169" s="982"/>
      <c r="AH169" s="10"/>
    </row>
    <row r="170" spans="1:37" s="138" customFormat="1" ht="48" customHeight="1" x14ac:dyDescent="0.25">
      <c r="A170" s="978"/>
      <c r="B170" s="973"/>
      <c r="C170" s="983"/>
      <c r="D170" s="973"/>
      <c r="E170" s="973"/>
      <c r="F170" s="330" t="s">
        <v>10</v>
      </c>
      <c r="G170" s="330" t="s">
        <v>11</v>
      </c>
      <c r="H170" s="330" t="s">
        <v>12</v>
      </c>
      <c r="I170" s="973"/>
      <c r="J170" s="983"/>
      <c r="K170" s="973"/>
      <c r="L170" s="973"/>
      <c r="M170" s="330" t="s">
        <v>10</v>
      </c>
      <c r="N170" s="330" t="s">
        <v>11</v>
      </c>
      <c r="O170" s="330" t="s">
        <v>12</v>
      </c>
      <c r="P170" s="973"/>
      <c r="Q170" s="973"/>
      <c r="R170" s="975"/>
      <c r="S170" s="330" t="s">
        <v>10</v>
      </c>
      <c r="T170" s="330" t="s">
        <v>11</v>
      </c>
      <c r="U170" s="330" t="s">
        <v>12</v>
      </c>
      <c r="V170" s="973"/>
      <c r="W170" s="973"/>
      <c r="X170" s="975"/>
      <c r="Y170" s="330" t="s">
        <v>10</v>
      </c>
      <c r="Z170" s="330" t="s">
        <v>11</v>
      </c>
      <c r="AA170" s="330" t="s">
        <v>12</v>
      </c>
      <c r="AB170" s="973"/>
      <c r="AC170" s="975"/>
      <c r="AD170" s="975"/>
      <c r="AE170" s="11" t="s">
        <v>10</v>
      </c>
      <c r="AF170" s="11" t="s">
        <v>11</v>
      </c>
      <c r="AG170" s="12" t="s">
        <v>13</v>
      </c>
      <c r="AH170" s="13"/>
    </row>
    <row r="171" spans="1:37" s="35" customFormat="1" ht="26.4" x14ac:dyDescent="0.25">
      <c r="A171" s="30" t="s">
        <v>541</v>
      </c>
      <c r="B171" s="140">
        <f>D171+E171</f>
        <v>8676768263.5800018</v>
      </c>
      <c r="C171" s="141"/>
      <c r="D171" s="141">
        <f>6916106.74153*1000</f>
        <v>6916106741.5300007</v>
      </c>
      <c r="E171" s="140">
        <f>F171+G171+H171</f>
        <v>1760661522.0500002</v>
      </c>
      <c r="F171" s="141">
        <f>871839.23095*1000</f>
        <v>871839230.95000005</v>
      </c>
      <c r="G171" s="141">
        <f>678915.18914*1000</f>
        <v>678915189.13999999</v>
      </c>
      <c r="H171" s="141">
        <f>209907.10196*1000</f>
        <v>209907101.96000001</v>
      </c>
      <c r="I171" s="140">
        <f>K171+L171</f>
        <v>4667808182.0299997</v>
      </c>
      <c r="J171" s="141"/>
      <c r="K171" s="141">
        <v>2724355739.23</v>
      </c>
      <c r="L171" s="140">
        <f>M171+N171+O171</f>
        <v>1943452442.8</v>
      </c>
      <c r="M171" s="141">
        <v>1143216491.77</v>
      </c>
      <c r="N171" s="141">
        <v>603179091.52999997</v>
      </c>
      <c r="O171" s="141">
        <f>197056.8595*1000</f>
        <v>197056859.5</v>
      </c>
      <c r="P171" s="31">
        <f>B171/1000000</f>
        <v>8676.7682635800011</v>
      </c>
      <c r="Q171" s="31">
        <f t="shared" ref="Q171:V173" si="215">D171/1000000</f>
        <v>6916.1067415300004</v>
      </c>
      <c r="R171" s="31">
        <f t="shared" si="215"/>
        <v>1760.6615220500003</v>
      </c>
      <c r="S171" s="31">
        <f t="shared" si="215"/>
        <v>871.83923095</v>
      </c>
      <c r="T171" s="31">
        <f t="shared" si="215"/>
        <v>678.91518913999994</v>
      </c>
      <c r="U171" s="31">
        <f t="shared" si="215"/>
        <v>209.90710196000001</v>
      </c>
      <c r="V171" s="31">
        <f t="shared" si="215"/>
        <v>4667.8081820299994</v>
      </c>
      <c r="W171" s="31">
        <f t="shared" ref="W171:AA175" si="216">K171/1000000</f>
        <v>2724.3557392299999</v>
      </c>
      <c r="X171" s="31">
        <f t="shared" si="216"/>
        <v>1943.4524428</v>
      </c>
      <c r="Y171" s="31">
        <f t="shared" si="216"/>
        <v>1143.2164917699999</v>
      </c>
      <c r="Z171" s="31">
        <f t="shared" si="216"/>
        <v>603.17909152999994</v>
      </c>
      <c r="AA171" s="31">
        <f t="shared" si="216"/>
        <v>197.0568595</v>
      </c>
      <c r="AB171" s="31">
        <f>V171-P171</f>
        <v>-4008.9600815500016</v>
      </c>
      <c r="AC171" s="31">
        <f>W171-Q171</f>
        <v>-4191.7510023000004</v>
      </c>
      <c r="AD171" s="31">
        <f>X171-R171</f>
        <v>182.79092074999971</v>
      </c>
      <c r="AE171" s="31">
        <f t="shared" ref="AE171:AG175" si="217">Y171-S171</f>
        <v>271.37726081999995</v>
      </c>
      <c r="AF171" s="31">
        <f t="shared" si="217"/>
        <v>-75.736097610000002</v>
      </c>
      <c r="AG171" s="32">
        <f t="shared" si="217"/>
        <v>-12.850242460000004</v>
      </c>
      <c r="AH171" s="33"/>
    </row>
    <row r="172" spans="1:37" x14ac:dyDescent="0.25">
      <c r="A172" s="85" t="s">
        <v>117</v>
      </c>
      <c r="B172" s="142">
        <f>D172+E172</f>
        <v>123751674.78</v>
      </c>
      <c r="C172" s="21"/>
      <c r="D172" s="104">
        <v>3005812.52</v>
      </c>
      <c r="E172" s="142">
        <f t="shared" ref="E172:E180" si="218">F172+G172+H172</f>
        <v>120745862.26000001</v>
      </c>
      <c r="F172" s="21">
        <v>28042404.66</v>
      </c>
      <c r="G172" s="21">
        <v>83405334.310000002</v>
      </c>
      <c r="H172" s="21">
        <v>9298123.290000001</v>
      </c>
      <c r="I172" s="142">
        <f>K172+L172</f>
        <v>106420766.76000001</v>
      </c>
      <c r="J172" s="21"/>
      <c r="K172" s="104">
        <v>4155357.37</v>
      </c>
      <c r="L172" s="142">
        <f t="shared" ref="L172:L180" si="219">M172+N172+O172</f>
        <v>102265409.39</v>
      </c>
      <c r="M172" s="21">
        <v>43414013.109999999</v>
      </c>
      <c r="N172" s="21">
        <v>56384108.25</v>
      </c>
      <c r="O172" s="21">
        <v>2467288.0300000003</v>
      </c>
      <c r="P172" s="28">
        <f>B172/1000000</f>
        <v>123.75167478</v>
      </c>
      <c r="Q172" s="28">
        <f t="shared" si="215"/>
        <v>3.0058125200000001</v>
      </c>
      <c r="R172" s="28">
        <f t="shared" si="215"/>
        <v>120.74586226000001</v>
      </c>
      <c r="S172" s="28">
        <f t="shared" si="215"/>
        <v>28.042404659999999</v>
      </c>
      <c r="T172" s="28">
        <f t="shared" si="215"/>
        <v>83.405334310000001</v>
      </c>
      <c r="U172" s="28">
        <f t="shared" si="215"/>
        <v>9.2981232900000013</v>
      </c>
      <c r="V172" s="27">
        <f t="shared" si="215"/>
        <v>106.42076676000001</v>
      </c>
      <c r="W172" s="27">
        <f t="shared" si="216"/>
        <v>4.1553573699999999</v>
      </c>
      <c r="X172" s="27">
        <f t="shared" si="216"/>
        <v>102.26540939</v>
      </c>
      <c r="Y172" s="27">
        <f t="shared" si="216"/>
        <v>43.414013109999999</v>
      </c>
      <c r="Z172" s="27">
        <f t="shared" si="216"/>
        <v>56.384108249999997</v>
      </c>
      <c r="AA172" s="27">
        <f t="shared" si="216"/>
        <v>2.4672880300000002</v>
      </c>
      <c r="AB172" s="27">
        <f t="shared" ref="AB172:AG180" si="220">V172-P172</f>
        <v>-17.330908019999995</v>
      </c>
      <c r="AC172" s="27">
        <f t="shared" si="220"/>
        <v>1.1495448499999998</v>
      </c>
      <c r="AD172" s="27">
        <f t="shared" si="220"/>
        <v>-18.480452870000008</v>
      </c>
      <c r="AE172" s="27">
        <f t="shared" si="217"/>
        <v>15.37160845</v>
      </c>
      <c r="AF172" s="27">
        <f t="shared" si="217"/>
        <v>-27.021226060000004</v>
      </c>
      <c r="AG172" s="29">
        <f t="shared" si="217"/>
        <v>-6.8308352600000006</v>
      </c>
      <c r="AH172" s="26"/>
    </row>
    <row r="173" spans="1:37" x14ac:dyDescent="0.25">
      <c r="A173" s="85" t="s">
        <v>118</v>
      </c>
      <c r="B173" s="142">
        <f>D173+E173</f>
        <v>8171020.9100000001</v>
      </c>
      <c r="C173" s="21"/>
      <c r="D173" s="354">
        <v>3005812.52</v>
      </c>
      <c r="E173" s="142">
        <f t="shared" si="218"/>
        <v>5165208.3900000006</v>
      </c>
      <c r="F173" s="21"/>
      <c r="G173" s="21">
        <v>5163770.2300000004</v>
      </c>
      <c r="H173" s="104">
        <v>1438.16</v>
      </c>
      <c r="I173" s="142">
        <f>K173+L173</f>
        <v>32846515.920000002</v>
      </c>
      <c r="J173" s="21"/>
      <c r="K173" s="354">
        <v>4155357.37</v>
      </c>
      <c r="L173" s="142">
        <f t="shared" si="219"/>
        <v>28691158.550000001</v>
      </c>
      <c r="M173" s="21">
        <v>9482444.5800000001</v>
      </c>
      <c r="N173" s="21">
        <v>19198188.379999999</v>
      </c>
      <c r="O173" s="104">
        <v>10525.59</v>
      </c>
      <c r="P173" s="28">
        <f>B173/1000000</f>
        <v>8.1710209099999993</v>
      </c>
      <c r="Q173" s="28">
        <f t="shared" si="215"/>
        <v>3.0058125200000001</v>
      </c>
      <c r="R173" s="28">
        <f t="shared" si="215"/>
        <v>5.165208390000001</v>
      </c>
      <c r="S173" s="28">
        <f t="shared" si="215"/>
        <v>0</v>
      </c>
      <c r="T173" s="28">
        <f t="shared" si="215"/>
        <v>5.1637702300000008</v>
      </c>
      <c r="U173" s="28">
        <f t="shared" si="215"/>
        <v>1.4381600000000002E-3</v>
      </c>
      <c r="V173" s="27">
        <f t="shared" si="215"/>
        <v>32.846515920000002</v>
      </c>
      <c r="W173" s="27">
        <f t="shared" si="216"/>
        <v>4.1553573699999999</v>
      </c>
      <c r="X173" s="27">
        <f t="shared" si="216"/>
        <v>28.691158550000001</v>
      </c>
      <c r="Y173" s="27">
        <f t="shared" si="216"/>
        <v>9.4824445799999992</v>
      </c>
      <c r="Z173" s="27">
        <f t="shared" si="216"/>
        <v>19.198188379999998</v>
      </c>
      <c r="AA173" s="27">
        <f t="shared" si="216"/>
        <v>1.052559E-2</v>
      </c>
      <c r="AB173" s="27">
        <f t="shared" si="220"/>
        <v>24.675495010000002</v>
      </c>
      <c r="AC173" s="27">
        <f t="shared" si="220"/>
        <v>1.1495448499999998</v>
      </c>
      <c r="AD173" s="27">
        <f t="shared" si="220"/>
        <v>23.525950160000001</v>
      </c>
      <c r="AE173" s="27">
        <f t="shared" si="217"/>
        <v>9.4824445799999992</v>
      </c>
      <c r="AF173" s="27">
        <f t="shared" si="217"/>
        <v>14.034418149999997</v>
      </c>
      <c r="AG173" s="29">
        <f t="shared" si="217"/>
        <v>9.0874299999999988E-3</v>
      </c>
      <c r="AH173" s="26"/>
    </row>
    <row r="174" spans="1:37" x14ac:dyDescent="0.25">
      <c r="A174" s="85" t="s">
        <v>119</v>
      </c>
      <c r="B174" s="142">
        <f>E174</f>
        <v>115580653.86999999</v>
      </c>
      <c r="C174" s="21"/>
      <c r="D174" s="21"/>
      <c r="E174" s="142">
        <f t="shared" si="218"/>
        <v>115580653.86999999</v>
      </c>
      <c r="F174" s="143">
        <f>F172-F173</f>
        <v>28042404.66</v>
      </c>
      <c r="G174" s="143">
        <f>G172-G173</f>
        <v>78241564.079999998</v>
      </c>
      <c r="H174" s="143">
        <f>H172-H173</f>
        <v>9296685.1300000008</v>
      </c>
      <c r="I174" s="142">
        <f>L174</f>
        <v>73574250.840000004</v>
      </c>
      <c r="J174" s="21"/>
      <c r="K174" s="21"/>
      <c r="L174" s="142">
        <f t="shared" si="219"/>
        <v>73574250.840000004</v>
      </c>
      <c r="M174" s="143">
        <f>M172-M173</f>
        <v>33931568.530000001</v>
      </c>
      <c r="N174" s="143">
        <f>N172-N173</f>
        <v>37185919.870000005</v>
      </c>
      <c r="O174" s="143">
        <f>O172-O173</f>
        <v>2456762.4400000004</v>
      </c>
      <c r="P174" s="28">
        <f>B174/1000000</f>
        <v>115.58065386999999</v>
      </c>
      <c r="Q174" s="28"/>
      <c r="R174" s="28">
        <f>E174/1000000</f>
        <v>115.58065386999999</v>
      </c>
      <c r="S174" s="28">
        <f>F174/1000000</f>
        <v>28.042404659999999</v>
      </c>
      <c r="T174" s="28">
        <f>G174/1000000</f>
        <v>78.241564080000003</v>
      </c>
      <c r="U174" s="28">
        <f>H174/1000000</f>
        <v>9.2966851300000002</v>
      </c>
      <c r="V174" s="27">
        <f>I174/1000000</f>
        <v>73.574250840000005</v>
      </c>
      <c r="W174" s="27"/>
      <c r="X174" s="27">
        <f>L174/1000000</f>
        <v>73.574250840000005</v>
      </c>
      <c r="Y174" s="27">
        <f>M174/1000000</f>
        <v>33.93156853</v>
      </c>
      <c r="Z174" s="27">
        <f t="shared" si="216"/>
        <v>37.185919870000006</v>
      </c>
      <c r="AA174" s="27">
        <f t="shared" si="216"/>
        <v>2.4567624400000003</v>
      </c>
      <c r="AB174" s="27">
        <f t="shared" si="220"/>
        <v>-42.006403029999987</v>
      </c>
      <c r="AC174" s="43" t="s">
        <v>31</v>
      </c>
      <c r="AD174" s="27">
        <f t="shared" si="220"/>
        <v>-42.006403029999987</v>
      </c>
      <c r="AE174" s="27">
        <f t="shared" si="217"/>
        <v>5.8891638700000009</v>
      </c>
      <c r="AF174" s="27">
        <f t="shared" si="217"/>
        <v>-41.055644209999997</v>
      </c>
      <c r="AG174" s="29">
        <f t="shared" si="217"/>
        <v>-6.8399226899999999</v>
      </c>
      <c r="AH174" s="26"/>
    </row>
    <row r="175" spans="1:37" s="496" customFormat="1" ht="26.4" x14ac:dyDescent="0.25">
      <c r="A175" s="30" t="s">
        <v>673</v>
      </c>
      <c r="B175" s="140">
        <f>D175+E175</f>
        <v>4023164053.1400003</v>
      </c>
      <c r="C175" s="144"/>
      <c r="D175" s="144">
        <f>1627734.07544*1000</f>
        <v>1627734075.4400001</v>
      </c>
      <c r="E175" s="140">
        <f>F175+G175+H175</f>
        <v>2395429977.7000003</v>
      </c>
      <c r="F175" s="498">
        <v>2046561026.72</v>
      </c>
      <c r="G175" s="498">
        <v>156295014.69999999</v>
      </c>
      <c r="H175" s="498">
        <v>192573936.28</v>
      </c>
      <c r="I175" s="140">
        <f>K175+L175</f>
        <v>2154228894.6499996</v>
      </c>
      <c r="J175" s="144"/>
      <c r="K175" s="144">
        <f>1027704.92203*1000</f>
        <v>1027704922.03</v>
      </c>
      <c r="L175" s="140">
        <f>M175+N175+O175</f>
        <v>1126523972.6199999</v>
      </c>
      <c r="M175" s="498">
        <v>780833303.08999991</v>
      </c>
      <c r="N175" s="498">
        <v>148631551.63999999</v>
      </c>
      <c r="O175" s="498">
        <v>197059117.88999999</v>
      </c>
      <c r="P175" s="152">
        <f t="shared" ref="P175" si="221">B175/1000000</f>
        <v>4023.1640531400003</v>
      </c>
      <c r="Q175" s="152">
        <f t="shared" ref="Q175" si="222">D175/1000000</f>
        <v>1627.73407544</v>
      </c>
      <c r="R175" s="152">
        <f t="shared" ref="R175" si="223">E175/1000000</f>
        <v>2395.4299777000001</v>
      </c>
      <c r="S175" s="152">
        <f t="shared" ref="S175" si="224">F175/1000000</f>
        <v>2046.56102672</v>
      </c>
      <c r="T175" s="152">
        <f t="shared" ref="T175" si="225">G175/1000000</f>
        <v>156.2950147</v>
      </c>
      <c r="U175" s="152">
        <f t="shared" ref="U175" si="226">H175/1000000</f>
        <v>192.57393628</v>
      </c>
      <c r="V175" s="31">
        <f t="shared" ref="V175" si="227">I175/1000000</f>
        <v>2154.2288946499998</v>
      </c>
      <c r="W175" s="31">
        <f t="shared" ref="W175" si="228">K175/1000000</f>
        <v>1027.70492203</v>
      </c>
      <c r="X175" s="31">
        <f t="shared" ref="X175" si="229">L175/1000000</f>
        <v>1126.52397262</v>
      </c>
      <c r="Y175" s="31">
        <f t="shared" ref="Y175" si="230">M175/1000000</f>
        <v>780.83330308999996</v>
      </c>
      <c r="Z175" s="31">
        <f t="shared" si="216"/>
        <v>148.63155164</v>
      </c>
      <c r="AA175" s="31">
        <f t="shared" si="216"/>
        <v>197.05911788999998</v>
      </c>
      <c r="AB175" s="31">
        <f t="shared" ref="AB175" si="231">V175-P175</f>
        <v>-1868.9351584900005</v>
      </c>
      <c r="AC175" s="31">
        <f t="shared" ref="AC175" si="232">W175-Q175</f>
        <v>-600.02915340999994</v>
      </c>
      <c r="AD175" s="31">
        <f t="shared" ref="AD175" si="233">X175-R175</f>
        <v>-1268.9060050800001</v>
      </c>
      <c r="AE175" s="31">
        <f t="shared" si="217"/>
        <v>-1265.7277236300001</v>
      </c>
      <c r="AF175" s="31">
        <f t="shared" si="217"/>
        <v>-7.663463059999998</v>
      </c>
      <c r="AG175" s="32">
        <f t="shared" si="217"/>
        <v>4.4851816099999837</v>
      </c>
      <c r="AH175" s="33"/>
    </row>
    <row r="176" spans="1:37" s="35" customFormat="1" ht="26.4" x14ac:dyDescent="0.25">
      <c r="A176" s="30" t="s">
        <v>214</v>
      </c>
      <c r="B176" s="140">
        <f>D176+E176</f>
        <v>50975985.310000002</v>
      </c>
      <c r="C176" s="144"/>
      <c r="D176" s="144"/>
      <c r="E176" s="140">
        <f>F176+G176+H176</f>
        <v>50975985.310000002</v>
      </c>
      <c r="F176" s="141">
        <v>1380689.5</v>
      </c>
      <c r="G176" s="141">
        <v>17274111.050000001</v>
      </c>
      <c r="H176" s="141">
        <v>32321184.760000002</v>
      </c>
      <c r="I176" s="140">
        <f>K176+L176</f>
        <v>27769372.599999998</v>
      </c>
      <c r="J176" s="144"/>
      <c r="K176" s="144">
        <f>0.202*1000</f>
        <v>202</v>
      </c>
      <c r="L176" s="140">
        <f>M176+N176+O176</f>
        <v>27769170.599999998</v>
      </c>
      <c r="M176" s="499">
        <f>64.65315*1000</f>
        <v>64653.149999999994</v>
      </c>
      <c r="N176" s="499">
        <f>10213.90282*1000</f>
        <v>10213902.819999998</v>
      </c>
      <c r="O176" s="499">
        <f>17490.61463*1000</f>
        <v>17490614.629999999</v>
      </c>
      <c r="P176" s="31">
        <f t="shared" ref="P176:P180" si="234">B176/1000000</f>
        <v>50.975985310000006</v>
      </c>
      <c r="Q176" s="31">
        <f t="shared" ref="Q176:V180" si="235">D176/1000000</f>
        <v>0</v>
      </c>
      <c r="R176" s="31">
        <f t="shared" si="235"/>
        <v>50.975985310000006</v>
      </c>
      <c r="S176" s="31">
        <f t="shared" si="235"/>
        <v>1.3806894999999999</v>
      </c>
      <c r="T176" s="31">
        <f t="shared" si="235"/>
        <v>17.274111050000002</v>
      </c>
      <c r="U176" s="31">
        <f t="shared" si="235"/>
        <v>32.321184760000001</v>
      </c>
      <c r="V176" s="31">
        <f t="shared" si="235"/>
        <v>27.769372599999997</v>
      </c>
      <c r="W176" s="31">
        <f t="shared" ref="W176:AA180" si="236">K176/1000000</f>
        <v>2.02E-4</v>
      </c>
      <c r="X176" s="31">
        <f t="shared" si="236"/>
        <v>27.769170599999999</v>
      </c>
      <c r="Y176" s="31">
        <f t="shared" si="236"/>
        <v>6.4653149999999993E-2</v>
      </c>
      <c r="Z176" s="31">
        <f t="shared" si="236"/>
        <v>10.213902819999998</v>
      </c>
      <c r="AA176" s="31">
        <f t="shared" si="236"/>
        <v>17.49061463</v>
      </c>
      <c r="AB176" s="31">
        <f t="shared" si="220"/>
        <v>-23.206612710000009</v>
      </c>
      <c r="AC176" s="31">
        <f t="shared" si="220"/>
        <v>2.02E-4</v>
      </c>
      <c r="AD176" s="31">
        <f t="shared" si="220"/>
        <v>-23.206814710000007</v>
      </c>
      <c r="AE176" s="31">
        <f t="shared" si="220"/>
        <v>-1.3160363499999999</v>
      </c>
      <c r="AF176" s="31">
        <f t="shared" si="220"/>
        <v>-7.0602082300000042</v>
      </c>
      <c r="AG176" s="32">
        <f t="shared" si="220"/>
        <v>-14.830570130000002</v>
      </c>
      <c r="AH176" s="149"/>
      <c r="AI176" s="3"/>
      <c r="AJ176" s="53"/>
      <c r="AK176" s="53"/>
    </row>
    <row r="177" spans="1:36" s="35" customFormat="1" x14ac:dyDescent="0.25">
      <c r="A177" s="30" t="s">
        <v>120</v>
      </c>
      <c r="B177" s="140">
        <f>D177+E177-C177</f>
        <v>37271494915.080002</v>
      </c>
      <c r="C177" s="145">
        <f>C178</f>
        <v>711466665</v>
      </c>
      <c r="D177" s="145">
        <f>D178+D179+D180</f>
        <v>33971606715.080002</v>
      </c>
      <c r="E177" s="140">
        <f t="shared" si="218"/>
        <v>4011354865</v>
      </c>
      <c r="F177" s="145">
        <f>F178+F179+F180</f>
        <v>3546732165</v>
      </c>
      <c r="G177" s="145">
        <f>G178+G179+G180</f>
        <v>427928700</v>
      </c>
      <c r="H177" s="145">
        <f>H178+H179+H180</f>
        <v>36694000</v>
      </c>
      <c r="I177" s="140">
        <f>K177+L177-J177</f>
        <v>46317582615.080002</v>
      </c>
      <c r="J177" s="145">
        <f>J178</f>
        <v>711466665</v>
      </c>
      <c r="K177" s="145">
        <f>K178+K179+K180</f>
        <v>42671662715.080002</v>
      </c>
      <c r="L177" s="140">
        <f t="shared" si="219"/>
        <v>4357386565</v>
      </c>
      <c r="M177" s="145">
        <f>M178+M179+M180</f>
        <v>3803566665</v>
      </c>
      <c r="N177" s="145">
        <f>N178+N179+N180</f>
        <v>508853900</v>
      </c>
      <c r="O177" s="145">
        <f>O178+O179+O180</f>
        <v>44966000</v>
      </c>
      <c r="P177" s="31">
        <f t="shared" si="234"/>
        <v>37271.494915080002</v>
      </c>
      <c r="Q177" s="31">
        <f t="shared" si="235"/>
        <v>33971.606715080001</v>
      </c>
      <c r="R177" s="31">
        <f t="shared" si="235"/>
        <v>4011.3548649999998</v>
      </c>
      <c r="S177" s="31">
        <f t="shared" si="235"/>
        <v>3546.7321649999999</v>
      </c>
      <c r="T177" s="31">
        <f t="shared" si="235"/>
        <v>427.92869999999999</v>
      </c>
      <c r="U177" s="31">
        <f t="shared" si="235"/>
        <v>36.694000000000003</v>
      </c>
      <c r="V177" s="31">
        <f t="shared" si="235"/>
        <v>46317.582615079999</v>
      </c>
      <c r="W177" s="31">
        <f t="shared" si="236"/>
        <v>42671.662715080005</v>
      </c>
      <c r="X177" s="31">
        <f t="shared" si="236"/>
        <v>4357.3865649999998</v>
      </c>
      <c r="Y177" s="31">
        <f t="shared" si="236"/>
        <v>3803.5666649999998</v>
      </c>
      <c r="Z177" s="31">
        <f t="shared" si="236"/>
        <v>508.85390000000001</v>
      </c>
      <c r="AA177" s="31">
        <f t="shared" si="236"/>
        <v>44.966000000000001</v>
      </c>
      <c r="AB177" s="31">
        <f t="shared" si="220"/>
        <v>9046.0876999999964</v>
      </c>
      <c r="AC177" s="31">
        <f t="shared" si="220"/>
        <v>8700.0560000000041</v>
      </c>
      <c r="AD177" s="31">
        <f t="shared" si="220"/>
        <v>346.0317</v>
      </c>
      <c r="AE177" s="31">
        <f t="shared" si="220"/>
        <v>256.83449999999993</v>
      </c>
      <c r="AF177" s="31">
        <f t="shared" si="220"/>
        <v>80.925200000000018</v>
      </c>
      <c r="AG177" s="32">
        <f t="shared" si="220"/>
        <v>8.2719999999999985</v>
      </c>
      <c r="AH177" s="33"/>
      <c r="AI177" s="3"/>
      <c r="AJ177" s="53"/>
    </row>
    <row r="178" spans="1:36" x14ac:dyDescent="0.25">
      <c r="A178" s="36" t="s">
        <v>121</v>
      </c>
      <c r="B178" s="142">
        <f>D178+E178-C178</f>
        <v>13671662715.08</v>
      </c>
      <c r="C178" s="2">
        <v>711466665</v>
      </c>
      <c r="D178" s="104">
        <v>13671662715.08</v>
      </c>
      <c r="E178" s="142">
        <f t="shared" si="218"/>
        <v>711466665</v>
      </c>
      <c r="F178" s="104">
        <v>711466665</v>
      </c>
      <c r="G178" s="104">
        <v>0</v>
      </c>
      <c r="H178" s="104">
        <v>0</v>
      </c>
      <c r="I178" s="142">
        <f>K178+L178-J178</f>
        <v>18671662715.080002</v>
      </c>
      <c r="J178" s="21">
        <v>711466665</v>
      </c>
      <c r="K178" s="104">
        <f>18671662.71508*1000</f>
        <v>18671662715.080002</v>
      </c>
      <c r="L178" s="142">
        <f>M178+N178+O178</f>
        <v>711466665</v>
      </c>
      <c r="M178" s="104">
        <v>711466665</v>
      </c>
      <c r="N178" s="104">
        <v>0</v>
      </c>
      <c r="O178" s="104">
        <v>0</v>
      </c>
      <c r="P178" s="27">
        <f t="shared" si="234"/>
        <v>13671.66271508</v>
      </c>
      <c r="Q178" s="27">
        <f t="shared" si="235"/>
        <v>13671.66271508</v>
      </c>
      <c r="R178" s="27">
        <f t="shared" si="235"/>
        <v>711.46666500000003</v>
      </c>
      <c r="S178" s="27">
        <f t="shared" si="235"/>
        <v>711.46666500000003</v>
      </c>
      <c r="T178" s="27">
        <f t="shared" si="235"/>
        <v>0</v>
      </c>
      <c r="U178" s="27">
        <f t="shared" si="235"/>
        <v>0</v>
      </c>
      <c r="V178" s="27">
        <f t="shared" si="235"/>
        <v>18671.662715080001</v>
      </c>
      <c r="W178" s="27">
        <f>K178/1000000</f>
        <v>18671.662715080001</v>
      </c>
      <c r="X178" s="27">
        <f t="shared" si="236"/>
        <v>711.46666500000003</v>
      </c>
      <c r="Y178" s="27">
        <f>M178/1000000</f>
        <v>711.46666500000003</v>
      </c>
      <c r="Z178" s="27">
        <f t="shared" si="236"/>
        <v>0</v>
      </c>
      <c r="AA178" s="27">
        <f t="shared" si="236"/>
        <v>0</v>
      </c>
      <c r="AB178" s="27">
        <f t="shared" si="220"/>
        <v>5000.0000000000018</v>
      </c>
      <c r="AC178" s="27">
        <f t="shared" si="220"/>
        <v>5000.0000000000018</v>
      </c>
      <c r="AD178" s="27">
        <f t="shared" si="220"/>
        <v>0</v>
      </c>
      <c r="AE178" s="27">
        <f t="shared" si="220"/>
        <v>0</v>
      </c>
      <c r="AF178" s="27">
        <f t="shared" si="220"/>
        <v>0</v>
      </c>
      <c r="AG178" s="29">
        <f t="shared" si="220"/>
        <v>0</v>
      </c>
      <c r="AH178" s="26"/>
    </row>
    <row r="179" spans="1:36" x14ac:dyDescent="0.25">
      <c r="A179" s="36" t="s">
        <v>122</v>
      </c>
      <c r="B179" s="142">
        <f>D179+E179</f>
        <v>23599832200</v>
      </c>
      <c r="C179" s="21"/>
      <c r="D179" s="104">
        <v>20299944000</v>
      </c>
      <c r="E179" s="142">
        <f t="shared" si="218"/>
        <v>3299888200</v>
      </c>
      <c r="F179" s="21">
        <v>2835265500</v>
      </c>
      <c r="G179" s="21">
        <v>427928700</v>
      </c>
      <c r="H179" s="21">
        <v>36694000</v>
      </c>
      <c r="I179" s="142">
        <f>K179+L179</f>
        <v>27645919900</v>
      </c>
      <c r="J179" s="21"/>
      <c r="K179" s="104">
        <v>24000000000</v>
      </c>
      <c r="L179" s="142">
        <f t="shared" si="219"/>
        <v>3645919900</v>
      </c>
      <c r="M179" s="21">
        <v>3092100000</v>
      </c>
      <c r="N179" s="21">
        <v>508853900</v>
      </c>
      <c r="O179" s="21">
        <v>44966000</v>
      </c>
      <c r="P179" s="27">
        <f t="shared" si="234"/>
        <v>23599.832200000001</v>
      </c>
      <c r="Q179" s="27">
        <f t="shared" si="235"/>
        <v>20299.944</v>
      </c>
      <c r="R179" s="27">
        <f t="shared" si="235"/>
        <v>3299.8881999999999</v>
      </c>
      <c r="S179" s="27">
        <f t="shared" si="235"/>
        <v>2835.2655</v>
      </c>
      <c r="T179" s="27">
        <f t="shared" si="235"/>
        <v>427.92869999999999</v>
      </c>
      <c r="U179" s="27">
        <f t="shared" si="235"/>
        <v>36.694000000000003</v>
      </c>
      <c r="V179" s="27">
        <f t="shared" si="235"/>
        <v>27645.919900000001</v>
      </c>
      <c r="W179" s="27">
        <f t="shared" si="236"/>
        <v>24000</v>
      </c>
      <c r="X179" s="27">
        <f t="shared" si="236"/>
        <v>3645.9198999999999</v>
      </c>
      <c r="Y179" s="27">
        <f t="shared" si="236"/>
        <v>3092.1</v>
      </c>
      <c r="Z179" s="27">
        <f t="shared" si="236"/>
        <v>508.85390000000001</v>
      </c>
      <c r="AA179" s="27">
        <f t="shared" si="236"/>
        <v>44.966000000000001</v>
      </c>
      <c r="AB179" s="27">
        <f t="shared" si="220"/>
        <v>4046.0877</v>
      </c>
      <c r="AC179" s="27">
        <f t="shared" si="220"/>
        <v>3700.0560000000005</v>
      </c>
      <c r="AD179" s="27">
        <f t="shared" si="220"/>
        <v>346.0317</v>
      </c>
      <c r="AE179" s="27">
        <f t="shared" si="220"/>
        <v>256.83449999999993</v>
      </c>
      <c r="AF179" s="27">
        <f t="shared" si="220"/>
        <v>80.925200000000018</v>
      </c>
      <c r="AG179" s="29">
        <f t="shared" si="220"/>
        <v>8.2719999999999985</v>
      </c>
      <c r="AH179" s="26"/>
    </row>
    <row r="180" spans="1:36" ht="13.8" thickBot="1" x14ac:dyDescent="0.3">
      <c r="A180" s="127" t="s">
        <v>123</v>
      </c>
      <c r="B180" s="146">
        <f>D180+E180</f>
        <v>0</v>
      </c>
      <c r="C180" s="147"/>
      <c r="D180" s="148">
        <v>0</v>
      </c>
      <c r="E180" s="146">
        <f t="shared" si="218"/>
        <v>0</v>
      </c>
      <c r="F180" s="147"/>
      <c r="G180" s="147"/>
      <c r="H180" s="147"/>
      <c r="I180" s="146">
        <f>K180+L180</f>
        <v>0</v>
      </c>
      <c r="J180" s="147"/>
      <c r="K180" s="148"/>
      <c r="L180" s="146">
        <f t="shared" si="219"/>
        <v>0</v>
      </c>
      <c r="M180" s="147">
        <v>0</v>
      </c>
      <c r="N180" s="147">
        <v>0</v>
      </c>
      <c r="O180" s="147">
        <v>0</v>
      </c>
      <c r="P180" s="130">
        <f t="shared" si="234"/>
        <v>0</v>
      </c>
      <c r="Q180" s="130">
        <f t="shared" si="235"/>
        <v>0</v>
      </c>
      <c r="R180" s="130">
        <f t="shared" si="235"/>
        <v>0</v>
      </c>
      <c r="S180" s="130">
        <f t="shared" si="235"/>
        <v>0</v>
      </c>
      <c r="T180" s="130">
        <f t="shared" si="235"/>
        <v>0</v>
      </c>
      <c r="U180" s="130">
        <f t="shared" si="235"/>
        <v>0</v>
      </c>
      <c r="V180" s="130">
        <f t="shared" si="235"/>
        <v>0</v>
      </c>
      <c r="W180" s="130">
        <f t="shared" si="236"/>
        <v>0</v>
      </c>
      <c r="X180" s="130">
        <f t="shared" si="236"/>
        <v>0</v>
      </c>
      <c r="Y180" s="130">
        <f t="shared" si="236"/>
        <v>0</v>
      </c>
      <c r="Z180" s="130">
        <f t="shared" si="236"/>
        <v>0</v>
      </c>
      <c r="AA180" s="130">
        <f t="shared" si="236"/>
        <v>0</v>
      </c>
      <c r="AB180" s="130">
        <f t="shared" si="220"/>
        <v>0</v>
      </c>
      <c r="AC180" s="130">
        <f t="shared" si="220"/>
        <v>0</v>
      </c>
      <c r="AD180" s="130">
        <f t="shared" si="220"/>
        <v>0</v>
      </c>
      <c r="AE180" s="130">
        <f t="shared" si="220"/>
        <v>0</v>
      </c>
      <c r="AF180" s="130">
        <f t="shared" si="220"/>
        <v>0</v>
      </c>
      <c r="AG180" s="131">
        <f t="shared" si="220"/>
        <v>0</v>
      </c>
      <c r="AH180" s="26"/>
    </row>
    <row r="181" spans="1:36" ht="13.8" thickTop="1" x14ac:dyDescent="0.25">
      <c r="P181" s="204"/>
      <c r="Q181" s="6"/>
      <c r="R181" s="6"/>
    </row>
    <row r="182" spans="1:36" x14ac:dyDescent="0.25">
      <c r="P182" s="204"/>
      <c r="Q182" s="204"/>
      <c r="R182" s="204"/>
    </row>
    <row r="183" spans="1:36" x14ac:dyDescent="0.25">
      <c r="P183" s="6"/>
      <c r="Q183" s="6"/>
      <c r="R183" s="6"/>
    </row>
    <row r="184" spans="1:36" x14ac:dyDescent="0.25">
      <c r="P184" s="6"/>
      <c r="Q184" s="6"/>
      <c r="R184" s="6"/>
    </row>
    <row r="185" spans="1:36" x14ac:dyDescent="0.25">
      <c r="P185" s="6"/>
      <c r="Q185" s="6"/>
      <c r="R185" s="6"/>
    </row>
  </sheetData>
  <mergeCells count="135">
    <mergeCell ref="V5:V7"/>
    <mergeCell ref="W5:AA5"/>
    <mergeCell ref="Q6:Q7"/>
    <mergeCell ref="R6:R7"/>
    <mergeCell ref="S6:U6"/>
    <mergeCell ref="W6:W7"/>
    <mergeCell ref="AD1:AG1"/>
    <mergeCell ref="A2:AG2"/>
    <mergeCell ref="A4:A7"/>
    <mergeCell ref="B4:H4"/>
    <mergeCell ref="I4:O4"/>
    <mergeCell ref="P4:U4"/>
    <mergeCell ref="V4:AA4"/>
    <mergeCell ref="AB4:AG4"/>
    <mergeCell ref="B5:B7"/>
    <mergeCell ref="C5:H5"/>
    <mergeCell ref="X6:X7"/>
    <mergeCell ref="Y6:AA6"/>
    <mergeCell ref="AC6:AC7"/>
    <mergeCell ref="AD6:AD7"/>
    <mergeCell ref="AE6:AG6"/>
    <mergeCell ref="A49:A52"/>
    <mergeCell ref="B49:H49"/>
    <mergeCell ref="I49:O49"/>
    <mergeCell ref="P49:U49"/>
    <mergeCell ref="V49:AA49"/>
    <mergeCell ref="AB5:AB7"/>
    <mergeCell ref="AC5:AG5"/>
    <mergeCell ref="C6:C7"/>
    <mergeCell ref="D6:D7"/>
    <mergeCell ref="E6:E7"/>
    <mergeCell ref="F6:H6"/>
    <mergeCell ref="J6:J7"/>
    <mergeCell ref="K6:K7"/>
    <mergeCell ref="L6:L7"/>
    <mergeCell ref="M6:O6"/>
    <mergeCell ref="I5:I7"/>
    <mergeCell ref="K5:O5"/>
    <mergeCell ref="P5:P7"/>
    <mergeCell ref="Q5:U5"/>
    <mergeCell ref="AB49:AG49"/>
    <mergeCell ref="B50:B52"/>
    <mergeCell ref="C50:H50"/>
    <mergeCell ref="I50:I52"/>
    <mergeCell ref="K50:O50"/>
    <mergeCell ref="E51:E52"/>
    <mergeCell ref="F51:H51"/>
    <mergeCell ref="J51:J52"/>
    <mergeCell ref="K51:K52"/>
    <mergeCell ref="L51:L52"/>
    <mergeCell ref="M51:O51"/>
    <mergeCell ref="Q51:Q52"/>
    <mergeCell ref="AD51:AD52"/>
    <mergeCell ref="AE51:AG51"/>
    <mergeCell ref="P146:U146"/>
    <mergeCell ref="V146:AA146"/>
    <mergeCell ref="AB146:AG146"/>
    <mergeCell ref="B147:B149"/>
    <mergeCell ref="C147:H147"/>
    <mergeCell ref="R51:R52"/>
    <mergeCell ref="S51:U51"/>
    <mergeCell ref="W51:W52"/>
    <mergeCell ref="X51:X52"/>
    <mergeCell ref="Y51:AA51"/>
    <mergeCell ref="AC51:AC52"/>
    <mergeCell ref="X148:X149"/>
    <mergeCell ref="Y148:AA148"/>
    <mergeCell ref="AC148:AC149"/>
    <mergeCell ref="AD148:AD149"/>
    <mergeCell ref="AE148:AG148"/>
    <mergeCell ref="P50:P52"/>
    <mergeCell ref="Q50:U50"/>
    <mergeCell ref="V50:V52"/>
    <mergeCell ref="W50:AA50"/>
    <mergeCell ref="AB50:AB52"/>
    <mergeCell ref="AC50:AG50"/>
    <mergeCell ref="C51:C52"/>
    <mergeCell ref="D51:D52"/>
    <mergeCell ref="A166:AG166"/>
    <mergeCell ref="AB147:AB149"/>
    <mergeCell ref="AC147:AG147"/>
    <mergeCell ref="C148:C149"/>
    <mergeCell ref="D148:D149"/>
    <mergeCell ref="E148:E149"/>
    <mergeCell ref="F148:H148"/>
    <mergeCell ref="J148:J149"/>
    <mergeCell ref="K148:K149"/>
    <mergeCell ref="L148:L149"/>
    <mergeCell ref="M148:O148"/>
    <mergeCell ref="I147:I149"/>
    <mergeCell ref="K147:O147"/>
    <mergeCell ref="P147:P149"/>
    <mergeCell ref="Q147:U147"/>
    <mergeCell ref="V147:V149"/>
    <mergeCell ref="W147:AA147"/>
    <mergeCell ref="Q148:Q149"/>
    <mergeCell ref="R148:R149"/>
    <mergeCell ref="S148:U148"/>
    <mergeCell ref="W148:W149"/>
    <mergeCell ref="A146:A149"/>
    <mergeCell ref="B146:H146"/>
    <mergeCell ref="I146:O146"/>
    <mergeCell ref="A167:A170"/>
    <mergeCell ref="B167:H167"/>
    <mergeCell ref="I167:O167"/>
    <mergeCell ref="P167:U167"/>
    <mergeCell ref="V167:AA167"/>
    <mergeCell ref="AB167:AG167"/>
    <mergeCell ref="B168:B170"/>
    <mergeCell ref="C168:H168"/>
    <mergeCell ref="I168:I170"/>
    <mergeCell ref="K168:O168"/>
    <mergeCell ref="AE169:AG169"/>
    <mergeCell ref="L169:L170"/>
    <mergeCell ref="M169:O169"/>
    <mergeCell ref="Q169:Q170"/>
    <mergeCell ref="R169:R170"/>
    <mergeCell ref="S169:U169"/>
    <mergeCell ref="W169:W170"/>
    <mergeCell ref="C169:C170"/>
    <mergeCell ref="D169:D170"/>
    <mergeCell ref="E169:E170"/>
    <mergeCell ref="F169:H169"/>
    <mergeCell ref="J169:J170"/>
    <mergeCell ref="K169:K170"/>
    <mergeCell ref="P168:P170"/>
    <mergeCell ref="Q168:U168"/>
    <mergeCell ref="V168:V170"/>
    <mergeCell ref="W168:AA168"/>
    <mergeCell ref="AB168:AB170"/>
    <mergeCell ref="AC168:AG168"/>
    <mergeCell ref="X169:X170"/>
    <mergeCell ref="Y169:AA169"/>
    <mergeCell ref="AC169:AC170"/>
    <mergeCell ref="AD169:AD170"/>
  </mergeCells>
  <printOptions horizontalCentered="1"/>
  <pageMargins left="0" right="0" top="0.55118110236220474" bottom="0.35433070866141736" header="0.31496062992125984" footer="0.11811023622047245"/>
  <pageSetup paperSize="9" scale="69" fitToHeight="100" orientation="landscape" r:id="rId1"/>
  <headerFooter>
    <oddFooter>&amp;C&amp;8&amp;P</oddFooter>
  </headerFooter>
  <rowBreaks count="2" manualBreakCount="2">
    <brk id="40" max="32" man="1"/>
    <brk id="145" max="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H182"/>
  <sheetViews>
    <sheetView topLeftCell="B1" zoomScale="130" zoomScaleNormal="130" workbookViewId="0">
      <selection activeCell="E147" sqref="E147"/>
    </sheetView>
  </sheetViews>
  <sheetFormatPr defaultColWidth="9.109375" defaultRowHeight="13.2" x14ac:dyDescent="0.25"/>
  <cols>
    <col min="1" max="1" width="46.44140625" style="609" customWidth="1"/>
    <col min="2" max="4" width="13.6640625" style="610" customWidth="1"/>
    <col min="5" max="5" width="58" style="609" customWidth="1"/>
    <col min="6" max="6" width="61.88671875" style="612" hidden="1" customWidth="1"/>
    <col min="7" max="16384" width="9.109375" style="613"/>
  </cols>
  <sheetData>
    <row r="1" spans="1:34" x14ac:dyDescent="0.25">
      <c r="E1" s="723" t="s">
        <v>360</v>
      </c>
    </row>
    <row r="3" spans="1:34" x14ac:dyDescent="0.25">
      <c r="A3" s="1045" t="s">
        <v>1002</v>
      </c>
      <c r="B3" s="1045"/>
      <c r="C3" s="1045"/>
      <c r="D3" s="1045"/>
      <c r="E3" s="1045"/>
    </row>
    <row r="4" spans="1:34" x14ac:dyDescent="0.25">
      <c r="A4" s="1045"/>
      <c r="B4" s="1045"/>
      <c r="C4" s="1045"/>
      <c r="D4" s="1045"/>
      <c r="E4" s="1045"/>
    </row>
    <row r="5" spans="1:34" x14ac:dyDescent="0.25">
      <c r="A5" s="614"/>
      <c r="B5" s="614"/>
      <c r="C5" s="614"/>
      <c r="D5" s="614"/>
      <c r="E5" s="614"/>
    </row>
    <row r="6" spans="1:34" ht="13.8" thickBot="1" x14ac:dyDescent="0.3">
      <c r="E6" s="611" t="s">
        <v>713</v>
      </c>
      <c r="G6" s="615"/>
      <c r="H6" s="615"/>
      <c r="I6" s="615"/>
      <c r="J6" s="615"/>
      <c r="K6" s="615"/>
      <c r="L6" s="615"/>
      <c r="M6" s="615"/>
      <c r="N6" s="615"/>
      <c r="O6" s="615"/>
      <c r="P6" s="615"/>
      <c r="Q6" s="615"/>
      <c r="R6" s="615"/>
      <c r="S6" s="615"/>
      <c r="T6" s="615"/>
      <c r="U6" s="615"/>
      <c r="V6" s="615"/>
      <c r="W6" s="615"/>
      <c r="X6" s="615"/>
      <c r="Y6" s="615"/>
      <c r="Z6" s="615"/>
      <c r="AA6" s="615"/>
      <c r="AB6" s="615"/>
      <c r="AC6" s="615"/>
      <c r="AD6" s="615"/>
      <c r="AE6" s="615"/>
      <c r="AF6" s="615"/>
      <c r="AG6" s="615"/>
      <c r="AH6" s="615"/>
    </row>
    <row r="7" spans="1:34" ht="15.75" customHeight="1" thickTop="1" x14ac:dyDescent="0.25">
      <c r="A7" s="1046" t="s">
        <v>1003</v>
      </c>
      <c r="B7" s="1048" t="s">
        <v>1004</v>
      </c>
      <c r="C7" s="1048"/>
      <c r="D7" s="1049" t="s">
        <v>1005</v>
      </c>
      <c r="E7" s="1051" t="s">
        <v>1006</v>
      </c>
      <c r="F7" s="616"/>
      <c r="G7" s="615"/>
      <c r="H7" s="615"/>
      <c r="I7" s="615"/>
      <c r="J7" s="615"/>
      <c r="K7" s="615"/>
      <c r="L7" s="615"/>
      <c r="M7" s="615"/>
      <c r="N7" s="615"/>
      <c r="O7" s="615"/>
      <c r="P7" s="615"/>
      <c r="Q7" s="615"/>
      <c r="R7" s="615"/>
      <c r="S7" s="615"/>
      <c r="T7" s="615"/>
      <c r="U7" s="615"/>
      <c r="V7" s="615"/>
      <c r="W7" s="615"/>
      <c r="X7" s="615"/>
      <c r="Y7" s="615"/>
      <c r="Z7" s="615"/>
      <c r="AA7" s="615"/>
      <c r="AB7" s="615"/>
      <c r="AC7" s="615"/>
      <c r="AD7" s="615"/>
      <c r="AE7" s="615"/>
      <c r="AF7" s="615"/>
      <c r="AG7" s="615"/>
      <c r="AH7" s="615"/>
    </row>
    <row r="8" spans="1:34" x14ac:dyDescent="0.25">
      <c r="A8" s="1047"/>
      <c r="B8" s="617" t="s">
        <v>666</v>
      </c>
      <c r="C8" s="617" t="s">
        <v>1007</v>
      </c>
      <c r="D8" s="1050"/>
      <c r="E8" s="1052"/>
      <c r="F8" s="616"/>
      <c r="G8" s="615"/>
      <c r="H8" s="615"/>
      <c r="I8" s="615"/>
      <c r="J8" s="615"/>
      <c r="K8" s="615"/>
      <c r="L8" s="615"/>
      <c r="M8" s="615"/>
      <c r="N8" s="615"/>
      <c r="O8" s="615"/>
      <c r="P8" s="615"/>
      <c r="Q8" s="615"/>
      <c r="R8" s="615"/>
      <c r="S8" s="615"/>
      <c r="T8" s="615"/>
      <c r="U8" s="615"/>
      <c r="V8" s="615"/>
      <c r="W8" s="615"/>
      <c r="X8" s="615"/>
      <c r="Y8" s="615"/>
      <c r="Z8" s="615"/>
      <c r="AA8" s="615"/>
      <c r="AB8" s="615"/>
      <c r="AC8" s="615"/>
      <c r="AD8" s="615"/>
      <c r="AE8" s="615"/>
      <c r="AF8" s="615"/>
      <c r="AG8" s="615"/>
      <c r="AH8" s="615"/>
    </row>
    <row r="9" spans="1:34" x14ac:dyDescent="0.25">
      <c r="A9" s="618" t="s">
        <v>1008</v>
      </c>
      <c r="B9" s="619">
        <v>3085.89</v>
      </c>
      <c r="C9" s="619">
        <v>3429.96</v>
      </c>
      <c r="D9" s="620">
        <f>C9-B9</f>
        <v>344.07000000000016</v>
      </c>
      <c r="E9" s="621" t="s">
        <v>31</v>
      </c>
      <c r="F9" s="616"/>
      <c r="G9" s="615"/>
      <c r="H9" s="615"/>
      <c r="I9" s="615"/>
      <c r="J9" s="615"/>
      <c r="K9" s="615"/>
      <c r="L9" s="615"/>
      <c r="M9" s="615"/>
      <c r="N9" s="615"/>
      <c r="O9" s="615"/>
      <c r="P9" s="615"/>
      <c r="Q9" s="615"/>
      <c r="R9" s="615"/>
      <c r="S9" s="615"/>
      <c r="T9" s="615"/>
      <c r="U9" s="615"/>
      <c r="V9" s="615"/>
      <c r="W9" s="615"/>
      <c r="X9" s="615"/>
      <c r="Y9" s="615"/>
      <c r="Z9" s="615"/>
      <c r="AA9" s="615"/>
      <c r="AB9" s="615"/>
      <c r="AC9" s="615"/>
      <c r="AD9" s="615"/>
      <c r="AE9" s="615"/>
      <c r="AF9" s="615"/>
      <c r="AG9" s="615"/>
      <c r="AH9" s="615"/>
    </row>
    <row r="10" spans="1:34" ht="10.5" customHeight="1" x14ac:dyDescent="0.25">
      <c r="A10" s="622" t="s">
        <v>1009</v>
      </c>
      <c r="B10" s="623"/>
      <c r="C10" s="623"/>
      <c r="D10" s="623"/>
      <c r="E10" s="624"/>
      <c r="F10" s="616"/>
      <c r="G10" s="615"/>
      <c r="H10" s="615"/>
      <c r="I10" s="615"/>
      <c r="J10" s="615"/>
      <c r="K10" s="615"/>
      <c r="L10" s="615"/>
      <c r="M10" s="615"/>
      <c r="N10" s="615"/>
      <c r="O10" s="615"/>
      <c r="P10" s="615"/>
      <c r="Q10" s="615"/>
      <c r="R10" s="615"/>
      <c r="S10" s="615"/>
      <c r="T10" s="615"/>
      <c r="U10" s="615"/>
      <c r="V10" s="615"/>
      <c r="W10" s="615"/>
      <c r="X10" s="615"/>
      <c r="Y10" s="615"/>
      <c r="Z10" s="615"/>
      <c r="AA10" s="615"/>
      <c r="AB10" s="615"/>
      <c r="AC10" s="615"/>
      <c r="AD10" s="615"/>
      <c r="AE10" s="615"/>
      <c r="AF10" s="615"/>
      <c r="AG10" s="615"/>
      <c r="AH10" s="615"/>
    </row>
    <row r="11" spans="1:34" x14ac:dyDescent="0.25">
      <c r="A11" s="625" t="s">
        <v>1010</v>
      </c>
      <c r="B11" s="626">
        <f>B12</f>
        <v>0</v>
      </c>
      <c r="C11" s="626">
        <f>C12</f>
        <v>75</v>
      </c>
      <c r="D11" s="626">
        <f>D12</f>
        <v>75</v>
      </c>
      <c r="E11" s="627" t="s">
        <v>31</v>
      </c>
      <c r="F11" s="616"/>
      <c r="G11" s="615"/>
      <c r="H11" s="615"/>
      <c r="I11" s="615"/>
      <c r="J11" s="615"/>
      <c r="K11" s="615"/>
      <c r="L11" s="615"/>
      <c r="M11" s="615"/>
      <c r="N11" s="615"/>
      <c r="O11" s="615"/>
      <c r="P11" s="615"/>
      <c r="Q11" s="615"/>
      <c r="R11" s="615"/>
      <c r="S11" s="615"/>
      <c r="T11" s="615"/>
      <c r="U11" s="615"/>
      <c r="V11" s="615"/>
      <c r="W11" s="615"/>
      <c r="X11" s="615"/>
      <c r="Y11" s="615"/>
      <c r="Z11" s="615"/>
      <c r="AA11" s="615"/>
      <c r="AB11" s="615"/>
      <c r="AC11" s="615"/>
      <c r="AD11" s="615"/>
      <c r="AE11" s="615"/>
      <c r="AF11" s="615"/>
      <c r="AG11" s="615"/>
      <c r="AH11" s="615"/>
    </row>
    <row r="12" spans="1:34" ht="26.4" x14ac:dyDescent="0.25">
      <c r="A12" s="628" t="s">
        <v>1011</v>
      </c>
      <c r="B12" s="629">
        <v>0</v>
      </c>
      <c r="C12" s="629">
        <v>75</v>
      </c>
      <c r="D12" s="629">
        <f>C12-B12</f>
        <v>75</v>
      </c>
      <c r="E12" s="624" t="s">
        <v>1012</v>
      </c>
      <c r="F12" s="616" t="s">
        <v>1013</v>
      </c>
      <c r="G12" s="615"/>
      <c r="H12" s="615"/>
      <c r="I12" s="615"/>
      <c r="J12" s="615"/>
      <c r="K12" s="615"/>
      <c r="L12" s="615"/>
      <c r="M12" s="615"/>
      <c r="N12" s="615"/>
      <c r="O12" s="615"/>
      <c r="P12" s="615"/>
      <c r="Q12" s="615"/>
      <c r="R12" s="615"/>
      <c r="S12" s="615"/>
      <c r="T12" s="615"/>
      <c r="U12" s="615"/>
      <c r="V12" s="615"/>
      <c r="W12" s="615"/>
      <c r="X12" s="615"/>
      <c r="Y12" s="615"/>
      <c r="Z12" s="615"/>
      <c r="AA12" s="615"/>
      <c r="AB12" s="615"/>
      <c r="AC12" s="615"/>
      <c r="AD12" s="615"/>
      <c r="AE12" s="615"/>
      <c r="AF12" s="615"/>
      <c r="AG12" s="615"/>
      <c r="AH12" s="615"/>
    </row>
    <row r="13" spans="1:34" x14ac:dyDescent="0.25">
      <c r="A13" s="625" t="s">
        <v>1014</v>
      </c>
      <c r="B13" s="626">
        <f>B14</f>
        <v>0.02</v>
      </c>
      <c r="C13" s="626">
        <f>C14</f>
        <v>270.64</v>
      </c>
      <c r="D13" s="626">
        <f>D14</f>
        <v>270.62</v>
      </c>
      <c r="E13" s="627" t="s">
        <v>31</v>
      </c>
      <c r="F13" s="616"/>
      <c r="G13" s="615"/>
      <c r="H13" s="615"/>
      <c r="I13" s="615"/>
      <c r="J13" s="615"/>
      <c r="K13" s="615"/>
      <c r="L13" s="615"/>
      <c r="M13" s="615"/>
      <c r="N13" s="615"/>
      <c r="O13" s="615"/>
      <c r="P13" s="615"/>
      <c r="Q13" s="615"/>
      <c r="R13" s="615"/>
      <c r="S13" s="615"/>
      <c r="T13" s="615"/>
      <c r="U13" s="615"/>
      <c r="V13" s="615"/>
      <c r="W13" s="615"/>
      <c r="X13" s="615"/>
      <c r="Y13" s="615"/>
      <c r="Z13" s="615"/>
      <c r="AA13" s="615"/>
      <c r="AB13" s="615"/>
      <c r="AC13" s="615"/>
      <c r="AD13" s="615"/>
      <c r="AE13" s="615"/>
      <c r="AF13" s="615"/>
      <c r="AG13" s="615"/>
      <c r="AH13" s="615"/>
    </row>
    <row r="14" spans="1:34" ht="52.8" x14ac:dyDescent="0.25">
      <c r="A14" s="628" t="s">
        <v>1015</v>
      </c>
      <c r="B14" s="629">
        <v>0.02</v>
      </c>
      <c r="C14" s="629">
        <v>270.64</v>
      </c>
      <c r="D14" s="629">
        <f>C14-B14</f>
        <v>270.62</v>
      </c>
      <c r="E14" s="624" t="s">
        <v>1016</v>
      </c>
      <c r="F14" s="616" t="s">
        <v>1017</v>
      </c>
      <c r="G14" s="615"/>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row>
    <row r="15" spans="1:34" x14ac:dyDescent="0.25">
      <c r="A15" s="618" t="s">
        <v>1018</v>
      </c>
      <c r="B15" s="620">
        <v>39.76</v>
      </c>
      <c r="C15" s="620">
        <v>44.21</v>
      </c>
      <c r="D15" s="620">
        <f>C15-B15</f>
        <v>4.4500000000000028</v>
      </c>
      <c r="E15" s="621" t="s">
        <v>31</v>
      </c>
      <c r="F15" s="616"/>
      <c r="G15" s="615"/>
      <c r="H15" s="615"/>
      <c r="I15" s="615"/>
      <c r="J15" s="615"/>
      <c r="K15" s="615"/>
      <c r="L15" s="615"/>
      <c r="M15" s="615"/>
      <c r="N15" s="615"/>
      <c r="O15" s="615"/>
      <c r="P15" s="615"/>
      <c r="Q15" s="615"/>
      <c r="R15" s="615"/>
      <c r="S15" s="615"/>
      <c r="T15" s="615"/>
      <c r="U15" s="615"/>
      <c r="V15" s="615"/>
      <c r="W15" s="615"/>
      <c r="X15" s="615"/>
      <c r="Y15" s="615"/>
      <c r="Z15" s="615"/>
      <c r="AA15" s="615"/>
      <c r="AB15" s="615"/>
      <c r="AC15" s="615"/>
      <c r="AD15" s="615"/>
      <c r="AE15" s="615"/>
      <c r="AF15" s="615"/>
      <c r="AG15" s="615"/>
      <c r="AH15" s="615"/>
    </row>
    <row r="16" spans="1:34" ht="1.5" customHeight="1" x14ac:dyDescent="0.25">
      <c r="A16" s="630"/>
      <c r="B16" s="631"/>
      <c r="C16" s="631"/>
      <c r="D16" s="631"/>
      <c r="E16" s="624"/>
      <c r="F16" s="616"/>
      <c r="G16" s="615"/>
      <c r="H16" s="615"/>
      <c r="I16" s="615"/>
      <c r="J16" s="615"/>
      <c r="K16" s="615"/>
      <c r="L16" s="615"/>
      <c r="M16" s="615"/>
      <c r="N16" s="615"/>
      <c r="O16" s="615"/>
      <c r="P16" s="615"/>
      <c r="Q16" s="615"/>
      <c r="R16" s="615"/>
      <c r="S16" s="615"/>
      <c r="T16" s="615"/>
      <c r="U16" s="615"/>
      <c r="V16" s="615"/>
      <c r="W16" s="615"/>
      <c r="X16" s="615"/>
      <c r="Y16" s="615"/>
      <c r="Z16" s="615"/>
      <c r="AA16" s="615"/>
      <c r="AB16" s="615"/>
      <c r="AC16" s="615"/>
      <c r="AD16" s="615"/>
      <c r="AE16" s="615"/>
      <c r="AF16" s="615"/>
      <c r="AG16" s="615"/>
      <c r="AH16" s="615"/>
    </row>
    <row r="17" spans="1:34" ht="26.4" x14ac:dyDescent="0.25">
      <c r="A17" s="618" t="s">
        <v>1019</v>
      </c>
      <c r="B17" s="620">
        <v>1581.93</v>
      </c>
      <c r="C17" s="620">
        <v>1586</v>
      </c>
      <c r="D17" s="620">
        <f t="shared" ref="D17:D138" si="0">C17-B17</f>
        <v>4.0699999999999363</v>
      </c>
      <c r="E17" s="621" t="s">
        <v>31</v>
      </c>
      <c r="F17" s="616"/>
      <c r="G17" s="615"/>
      <c r="H17" s="615"/>
      <c r="I17" s="615"/>
      <c r="J17" s="615"/>
      <c r="K17" s="615"/>
      <c r="L17" s="615"/>
      <c r="M17" s="615"/>
      <c r="N17" s="615"/>
      <c r="O17" s="615"/>
      <c r="P17" s="615"/>
      <c r="Q17" s="615"/>
      <c r="R17" s="615"/>
      <c r="S17" s="615"/>
      <c r="T17" s="615"/>
      <c r="U17" s="615"/>
      <c r="V17" s="615"/>
      <c r="W17" s="615"/>
      <c r="X17" s="615"/>
      <c r="Y17" s="615"/>
      <c r="Z17" s="615"/>
      <c r="AA17" s="615"/>
      <c r="AB17" s="615"/>
      <c r="AC17" s="615"/>
      <c r="AD17" s="615"/>
      <c r="AE17" s="615"/>
      <c r="AF17" s="615"/>
      <c r="AG17" s="615"/>
      <c r="AH17" s="615"/>
    </row>
    <row r="18" spans="1:34" ht="1.5" customHeight="1" x14ac:dyDescent="0.25">
      <c r="A18" s="622"/>
      <c r="B18" s="623"/>
      <c r="C18" s="623"/>
      <c r="D18" s="623"/>
      <c r="E18" s="624"/>
      <c r="F18" s="616"/>
      <c r="G18" s="615"/>
      <c r="H18" s="615"/>
      <c r="I18" s="615"/>
      <c r="J18" s="615"/>
      <c r="K18" s="615"/>
      <c r="L18" s="615"/>
      <c r="M18" s="615"/>
      <c r="N18" s="615"/>
      <c r="O18" s="615"/>
      <c r="P18" s="615"/>
      <c r="Q18" s="615"/>
      <c r="R18" s="615"/>
      <c r="S18" s="615"/>
      <c r="T18" s="615"/>
      <c r="U18" s="615"/>
      <c r="V18" s="615"/>
      <c r="W18" s="615"/>
      <c r="X18" s="615"/>
      <c r="Y18" s="615"/>
      <c r="Z18" s="615"/>
      <c r="AA18" s="615"/>
      <c r="AB18" s="615"/>
      <c r="AC18" s="615"/>
      <c r="AD18" s="615"/>
      <c r="AE18" s="615"/>
      <c r="AF18" s="615"/>
      <c r="AG18" s="615"/>
      <c r="AH18" s="615"/>
    </row>
    <row r="19" spans="1:34" x14ac:dyDescent="0.25">
      <c r="A19" s="618" t="s">
        <v>1020</v>
      </c>
      <c r="B19" s="620">
        <v>14084.81</v>
      </c>
      <c r="C19" s="620">
        <v>16746.849999999999</v>
      </c>
      <c r="D19" s="620">
        <f t="shared" si="0"/>
        <v>2662.0399999999991</v>
      </c>
      <c r="E19" s="632" t="s">
        <v>31</v>
      </c>
      <c r="F19" s="616"/>
      <c r="G19" s="615"/>
      <c r="H19" s="615"/>
      <c r="I19" s="615"/>
      <c r="J19" s="615"/>
      <c r="K19" s="615"/>
      <c r="L19" s="615"/>
      <c r="M19" s="615"/>
      <c r="N19" s="615"/>
      <c r="O19" s="615"/>
      <c r="P19" s="615"/>
      <c r="Q19" s="615"/>
      <c r="R19" s="615"/>
      <c r="S19" s="615"/>
      <c r="T19" s="615"/>
      <c r="U19" s="615"/>
      <c r="V19" s="615"/>
      <c r="W19" s="615"/>
      <c r="X19" s="615"/>
      <c r="Y19" s="615"/>
      <c r="Z19" s="615"/>
      <c r="AA19" s="615"/>
      <c r="AB19" s="615"/>
      <c r="AC19" s="615"/>
      <c r="AD19" s="615"/>
      <c r="AE19" s="615"/>
      <c r="AF19" s="615"/>
      <c r="AG19" s="615"/>
      <c r="AH19" s="615"/>
    </row>
    <row r="20" spans="1:34" ht="10.5" customHeight="1" x14ac:dyDescent="0.25">
      <c r="A20" s="633" t="s">
        <v>1021</v>
      </c>
      <c r="B20" s="623"/>
      <c r="C20" s="623"/>
      <c r="D20" s="623"/>
      <c r="E20" s="624"/>
      <c r="F20" s="616"/>
    </row>
    <row r="21" spans="1:34" x14ac:dyDescent="0.25">
      <c r="A21" s="634" t="s">
        <v>1022</v>
      </c>
      <c r="B21" s="626">
        <f>B22+B24+B23+B25</f>
        <v>393.88</v>
      </c>
      <c r="C21" s="626">
        <f>C22+C24+C23+C25</f>
        <v>582.49199999999996</v>
      </c>
      <c r="D21" s="626">
        <f>C21-B21</f>
        <v>188.61199999999997</v>
      </c>
      <c r="E21" s="627" t="s">
        <v>31</v>
      </c>
      <c r="F21" s="616"/>
    </row>
    <row r="22" spans="1:34" s="639" customFormat="1" ht="66" x14ac:dyDescent="0.25">
      <c r="A22" s="635" t="s">
        <v>1023</v>
      </c>
      <c r="B22" s="636">
        <v>114.886</v>
      </c>
      <c r="C22" s="636">
        <v>179.31100000000001</v>
      </c>
      <c r="D22" s="636">
        <f>C22-B22</f>
        <v>64.425000000000011</v>
      </c>
      <c r="E22" s="637" t="s">
        <v>1024</v>
      </c>
      <c r="F22" s="638">
        <v>70100</v>
      </c>
    </row>
    <row r="23" spans="1:34" s="639" customFormat="1" ht="39.6" x14ac:dyDescent="0.25">
      <c r="A23" s="635" t="s">
        <v>1025</v>
      </c>
      <c r="B23" s="636">
        <v>137.16999999999999</v>
      </c>
      <c r="C23" s="636">
        <v>181.65</v>
      </c>
      <c r="D23" s="636">
        <f>C23-B23</f>
        <v>44.480000000000018</v>
      </c>
      <c r="E23" s="637" t="s">
        <v>1026</v>
      </c>
      <c r="F23" s="638">
        <v>51290</v>
      </c>
    </row>
    <row r="24" spans="1:34" ht="26.4" x14ac:dyDescent="0.25">
      <c r="A24" s="1044" t="s">
        <v>1027</v>
      </c>
      <c r="B24" s="629">
        <v>15.644</v>
      </c>
      <c r="C24" s="629">
        <v>56.540999999999997</v>
      </c>
      <c r="D24" s="629">
        <f t="shared" ref="D24:D35" si="1">C24-B24</f>
        <v>40.896999999999998</v>
      </c>
      <c r="E24" s="624" t="s">
        <v>1028</v>
      </c>
      <c r="F24" s="616" t="s">
        <v>1029</v>
      </c>
    </row>
    <row r="25" spans="1:34" ht="26.4" x14ac:dyDescent="0.25">
      <c r="A25" s="1053"/>
      <c r="B25" s="629">
        <v>126.18</v>
      </c>
      <c r="C25" s="629">
        <v>164.99</v>
      </c>
      <c r="D25" s="629">
        <f t="shared" si="1"/>
        <v>38.81</v>
      </c>
      <c r="E25" s="624" t="s">
        <v>1026</v>
      </c>
      <c r="F25" s="616">
        <v>51290</v>
      </c>
    </row>
    <row r="26" spans="1:34" x14ac:dyDescent="0.25">
      <c r="A26" s="625" t="s">
        <v>1030</v>
      </c>
      <c r="B26" s="626">
        <f>B27</f>
        <v>0</v>
      </c>
      <c r="C26" s="626">
        <f>C27</f>
        <v>80</v>
      </c>
      <c r="D26" s="626">
        <f>D27</f>
        <v>80</v>
      </c>
      <c r="E26" s="627" t="s">
        <v>31</v>
      </c>
      <c r="F26" s="616"/>
    </row>
    <row r="27" spans="1:34" ht="66" x14ac:dyDescent="0.25">
      <c r="A27" s="640" t="s">
        <v>1027</v>
      </c>
      <c r="B27" s="629">
        <v>0</v>
      </c>
      <c r="C27" s="629">
        <v>80</v>
      </c>
      <c r="D27" s="629">
        <f>C27-B27</f>
        <v>80</v>
      </c>
      <c r="E27" s="624" t="s">
        <v>1031</v>
      </c>
      <c r="F27" s="616" t="s">
        <v>1032</v>
      </c>
    </row>
    <row r="28" spans="1:34" x14ac:dyDescent="0.25">
      <c r="A28" s="634" t="s">
        <v>1033</v>
      </c>
      <c r="B28" s="626">
        <f>B29+B32+B33+B34+B35+B30+B31</f>
        <v>5088.34</v>
      </c>
      <c r="C28" s="626">
        <f>C29+C32+C33+C34+C35+C30+C31</f>
        <v>7913.8270000000002</v>
      </c>
      <c r="D28" s="626">
        <f>D29+D32+D33+D34+D35+D30+D31</f>
        <v>2825.4870000000001</v>
      </c>
      <c r="E28" s="627" t="s">
        <v>31</v>
      </c>
      <c r="F28" s="616"/>
    </row>
    <row r="29" spans="1:34" ht="39.6" x14ac:dyDescent="0.25">
      <c r="A29" s="1044" t="s">
        <v>1034</v>
      </c>
      <c r="B29" s="629">
        <v>1533.78</v>
      </c>
      <c r="C29" s="629">
        <v>2319.3200000000002</v>
      </c>
      <c r="D29" s="629">
        <f t="shared" si="1"/>
        <v>785.54000000000019</v>
      </c>
      <c r="E29" s="624" t="s">
        <v>1035</v>
      </c>
      <c r="F29" s="616" t="s">
        <v>1036</v>
      </c>
    </row>
    <row r="30" spans="1:34" ht="26.4" x14ac:dyDescent="0.25">
      <c r="A30" s="1044"/>
      <c r="B30" s="629">
        <v>3197.06</v>
      </c>
      <c r="C30" s="629">
        <v>3327.43</v>
      </c>
      <c r="D30" s="629">
        <f t="shared" si="1"/>
        <v>130.36999999999989</v>
      </c>
      <c r="E30" s="624" t="s">
        <v>1037</v>
      </c>
      <c r="F30" s="616" t="s">
        <v>1038</v>
      </c>
    </row>
    <row r="31" spans="1:34" ht="26.4" x14ac:dyDescent="0.25">
      <c r="A31" s="1053"/>
      <c r="B31" s="629">
        <v>0</v>
      </c>
      <c r="C31" s="629">
        <v>704.89700000000005</v>
      </c>
      <c r="D31" s="629">
        <f t="shared" si="1"/>
        <v>704.89700000000005</v>
      </c>
      <c r="E31" s="624" t="s">
        <v>1039</v>
      </c>
      <c r="F31" s="616" t="s">
        <v>1040</v>
      </c>
    </row>
    <row r="32" spans="1:34" ht="79.2" x14ac:dyDescent="0.25">
      <c r="A32" s="640" t="s">
        <v>1041</v>
      </c>
      <c r="B32" s="629">
        <v>0</v>
      </c>
      <c r="C32" s="629">
        <v>278.8</v>
      </c>
      <c r="D32" s="629">
        <f t="shared" si="1"/>
        <v>278.8</v>
      </c>
      <c r="E32" s="624" t="s">
        <v>1042</v>
      </c>
      <c r="F32" s="616" t="s">
        <v>1043</v>
      </c>
    </row>
    <row r="33" spans="1:6" ht="52.8" x14ac:dyDescent="0.25">
      <c r="A33" s="1044" t="s">
        <v>1011</v>
      </c>
      <c r="B33" s="629">
        <v>157.5</v>
      </c>
      <c r="C33" s="629">
        <v>242</v>
      </c>
      <c r="D33" s="629">
        <f t="shared" si="1"/>
        <v>84.5</v>
      </c>
      <c r="E33" s="624" t="s">
        <v>1044</v>
      </c>
      <c r="F33" s="616" t="s">
        <v>1045</v>
      </c>
    </row>
    <row r="34" spans="1:6" ht="39.6" x14ac:dyDescent="0.25">
      <c r="A34" s="1044"/>
      <c r="B34" s="629">
        <v>0</v>
      </c>
      <c r="C34" s="629">
        <v>185.38</v>
      </c>
      <c r="D34" s="629">
        <f t="shared" si="1"/>
        <v>185.38</v>
      </c>
      <c r="E34" s="624" t="s">
        <v>1046</v>
      </c>
      <c r="F34" s="616">
        <v>1920678760</v>
      </c>
    </row>
    <row r="35" spans="1:6" ht="26.4" x14ac:dyDescent="0.25">
      <c r="A35" s="1044"/>
      <c r="B35" s="629">
        <v>200</v>
      </c>
      <c r="C35" s="629">
        <v>856</v>
      </c>
      <c r="D35" s="629">
        <f t="shared" si="1"/>
        <v>656</v>
      </c>
      <c r="E35" s="624" t="s">
        <v>1047</v>
      </c>
      <c r="F35" s="616" t="s">
        <v>1048</v>
      </c>
    </row>
    <row r="36" spans="1:6" ht="1.5" customHeight="1" x14ac:dyDescent="0.25">
      <c r="A36" s="640"/>
      <c r="B36" s="629"/>
      <c r="C36" s="629"/>
      <c r="D36" s="629"/>
      <c r="E36" s="624"/>
      <c r="F36" s="616"/>
    </row>
    <row r="37" spans="1:6" x14ac:dyDescent="0.25">
      <c r="A37" s="618" t="s">
        <v>1049</v>
      </c>
      <c r="B37" s="620">
        <v>6020.94</v>
      </c>
      <c r="C37" s="620">
        <v>10291.93</v>
      </c>
      <c r="D37" s="620">
        <f>C37-B37</f>
        <v>4270.9900000000007</v>
      </c>
      <c r="E37" s="621" t="s">
        <v>31</v>
      </c>
      <c r="F37" s="616"/>
    </row>
    <row r="38" spans="1:6" s="643" customFormat="1" ht="10.5" customHeight="1" x14ac:dyDescent="0.25">
      <c r="A38" s="633" t="s">
        <v>1021</v>
      </c>
      <c r="B38" s="641"/>
      <c r="C38" s="641"/>
      <c r="D38" s="641"/>
      <c r="E38" s="642"/>
      <c r="F38" s="616"/>
    </row>
    <row r="39" spans="1:6" s="643" customFormat="1" x14ac:dyDescent="0.25">
      <c r="A39" s="634" t="s">
        <v>1050</v>
      </c>
      <c r="B39" s="626">
        <f>B41+B42+B40+B43</f>
        <v>863.9</v>
      </c>
      <c r="C39" s="626">
        <f>C41+C42+C40+C43</f>
        <v>2782.67</v>
      </c>
      <c r="D39" s="626">
        <f>D41+D42+D40+D43</f>
        <v>1918.77</v>
      </c>
      <c r="E39" s="627" t="s">
        <v>31</v>
      </c>
      <c r="F39" s="616"/>
    </row>
    <row r="40" spans="1:6" s="644" customFormat="1" ht="66" x14ac:dyDescent="0.25">
      <c r="A40" s="635" t="s">
        <v>1041</v>
      </c>
      <c r="B40" s="636">
        <v>151.75</v>
      </c>
      <c r="C40" s="636">
        <f>978.52+33.7</f>
        <v>1012.22</v>
      </c>
      <c r="D40" s="636">
        <f>C40-B40</f>
        <v>860.47</v>
      </c>
      <c r="E40" s="637" t="s">
        <v>1051</v>
      </c>
      <c r="F40" s="638" t="s">
        <v>1052</v>
      </c>
    </row>
    <row r="41" spans="1:6" s="643" customFormat="1" ht="26.4" x14ac:dyDescent="0.25">
      <c r="A41" s="1044" t="s">
        <v>1011</v>
      </c>
      <c r="B41" s="645">
        <v>520.5</v>
      </c>
      <c r="C41" s="645">
        <v>604</v>
      </c>
      <c r="D41" s="645">
        <f>C41-B41</f>
        <v>83.5</v>
      </c>
      <c r="E41" s="642" t="s">
        <v>1053</v>
      </c>
      <c r="F41" s="616" t="s">
        <v>1054</v>
      </c>
    </row>
    <row r="42" spans="1:6" s="643" customFormat="1" ht="52.8" x14ac:dyDescent="0.25">
      <c r="A42" s="1044"/>
      <c r="B42" s="645">
        <v>191.65</v>
      </c>
      <c r="C42" s="645">
        <v>881.61</v>
      </c>
      <c r="D42" s="645">
        <f>C42-B42</f>
        <v>689.96</v>
      </c>
      <c r="E42" s="642" t="s">
        <v>1055</v>
      </c>
      <c r="F42" s="638" t="s">
        <v>1052</v>
      </c>
    </row>
    <row r="43" spans="1:6" s="643" customFormat="1" ht="26.4" x14ac:dyDescent="0.25">
      <c r="A43" s="1044"/>
      <c r="B43" s="645">
        <v>0</v>
      </c>
      <c r="C43" s="645">
        <v>284.83999999999997</v>
      </c>
      <c r="D43" s="645">
        <f>C43-B43</f>
        <v>284.83999999999997</v>
      </c>
      <c r="E43" s="642" t="s">
        <v>1056</v>
      </c>
      <c r="F43" s="616" t="s">
        <v>1057</v>
      </c>
    </row>
    <row r="44" spans="1:6" s="643" customFormat="1" x14ac:dyDescent="0.25">
      <c r="A44" s="646" t="s">
        <v>1058</v>
      </c>
      <c r="B44" s="647">
        <f>B49+B45+B46+B47+B48</f>
        <v>4177.0499999999993</v>
      </c>
      <c r="C44" s="647">
        <f>C49+C45+C46+C47+C48</f>
        <v>6369.9600000000009</v>
      </c>
      <c r="D44" s="647">
        <f>D49+D45+D46+D47+D48</f>
        <v>2192.9100000000008</v>
      </c>
      <c r="E44" s="627" t="s">
        <v>31</v>
      </c>
      <c r="F44" s="616"/>
    </row>
    <row r="45" spans="1:6" s="643" customFormat="1" ht="52.8" x14ac:dyDescent="0.25">
      <c r="A45" s="1044" t="s">
        <v>1011</v>
      </c>
      <c r="B45" s="645">
        <v>126.42</v>
      </c>
      <c r="C45" s="645">
        <f>454.31+8.81</f>
        <v>463.12</v>
      </c>
      <c r="D45" s="645">
        <f>C45-B45</f>
        <v>336.7</v>
      </c>
      <c r="E45" s="642" t="s">
        <v>1055</v>
      </c>
      <c r="F45" s="638" t="s">
        <v>1052</v>
      </c>
    </row>
    <row r="46" spans="1:6" s="643" customFormat="1" ht="26.4" x14ac:dyDescent="0.25">
      <c r="A46" s="1044"/>
      <c r="B46" s="645">
        <v>0</v>
      </c>
      <c r="C46" s="645">
        <v>196.5</v>
      </c>
      <c r="D46" s="645">
        <f>C46-B46</f>
        <v>196.5</v>
      </c>
      <c r="E46" s="642" t="s">
        <v>685</v>
      </c>
      <c r="F46" s="616">
        <v>1300278870</v>
      </c>
    </row>
    <row r="47" spans="1:6" s="643" customFormat="1" ht="26.4" x14ac:dyDescent="0.25">
      <c r="A47" s="1044"/>
      <c r="B47" s="645">
        <v>0</v>
      </c>
      <c r="C47" s="645">
        <v>100.77</v>
      </c>
      <c r="D47" s="645">
        <f>C47-B47</f>
        <v>100.77</v>
      </c>
      <c r="E47" s="642" t="s">
        <v>686</v>
      </c>
      <c r="F47" s="616">
        <v>1300378840</v>
      </c>
    </row>
    <row r="48" spans="1:6" s="643" customFormat="1" ht="52.8" x14ac:dyDescent="0.25">
      <c r="A48" s="1044"/>
      <c r="B48" s="645">
        <v>9.1999999999999993</v>
      </c>
      <c r="C48" s="645">
        <v>174.8</v>
      </c>
      <c r="D48" s="645">
        <f>C48-B48</f>
        <v>165.60000000000002</v>
      </c>
      <c r="E48" s="642" t="s">
        <v>687</v>
      </c>
      <c r="F48" s="616" t="s">
        <v>1059</v>
      </c>
    </row>
    <row r="49" spans="1:6" s="615" customFormat="1" ht="92.4" x14ac:dyDescent="0.25">
      <c r="A49" s="640" t="s">
        <v>1015</v>
      </c>
      <c r="B49" s="636">
        <v>4041.43</v>
      </c>
      <c r="C49" s="636">
        <v>5434.77</v>
      </c>
      <c r="D49" s="645">
        <f>C49-B49</f>
        <v>1393.3400000000006</v>
      </c>
      <c r="E49" s="637" t="s">
        <v>1060</v>
      </c>
      <c r="F49" s="616" t="s">
        <v>1061</v>
      </c>
    </row>
    <row r="50" spans="1:6" s="615" customFormat="1" x14ac:dyDescent="0.25">
      <c r="A50" s="646" t="s">
        <v>1062</v>
      </c>
      <c r="B50" s="626">
        <f>B51</f>
        <v>0</v>
      </c>
      <c r="C50" s="626">
        <f t="shared" ref="C50:D50" si="2">C51</f>
        <v>197.8</v>
      </c>
      <c r="D50" s="626">
        <f t="shared" si="2"/>
        <v>197.8</v>
      </c>
      <c r="E50" s="627" t="s">
        <v>31</v>
      </c>
      <c r="F50" s="616"/>
    </row>
    <row r="51" spans="1:6" s="615" customFormat="1" ht="79.2" x14ac:dyDescent="0.25">
      <c r="A51" s="640" t="s">
        <v>1015</v>
      </c>
      <c r="B51" s="636">
        <v>0</v>
      </c>
      <c r="C51" s="636">
        <v>197.8</v>
      </c>
      <c r="D51" s="645">
        <f>C51-B51</f>
        <v>197.8</v>
      </c>
      <c r="E51" s="637" t="s">
        <v>1063</v>
      </c>
      <c r="F51" s="616" t="s">
        <v>1064</v>
      </c>
    </row>
    <row r="52" spans="1:6" s="643" customFormat="1" ht="1.5" customHeight="1" x14ac:dyDescent="0.25">
      <c r="A52" s="640"/>
      <c r="B52" s="645"/>
      <c r="C52" s="645"/>
      <c r="D52" s="645"/>
      <c r="E52" s="642"/>
      <c r="F52" s="616"/>
    </row>
    <row r="53" spans="1:6" x14ac:dyDescent="0.25">
      <c r="A53" s="618" t="s">
        <v>1065</v>
      </c>
      <c r="B53" s="620">
        <v>418.28</v>
      </c>
      <c r="C53" s="620">
        <v>409.74</v>
      </c>
      <c r="D53" s="620">
        <f t="shared" si="0"/>
        <v>-8.5399999999999636</v>
      </c>
      <c r="E53" s="648" t="s">
        <v>31</v>
      </c>
      <c r="F53" s="616"/>
    </row>
    <row r="54" spans="1:6" ht="1.5" customHeight="1" x14ac:dyDescent="0.25">
      <c r="A54" s="633"/>
      <c r="B54" s="623"/>
      <c r="C54" s="623"/>
      <c r="D54" s="623"/>
      <c r="E54" s="624"/>
      <c r="F54" s="616"/>
    </row>
    <row r="55" spans="1:6" x14ac:dyDescent="0.25">
      <c r="A55" s="618" t="s">
        <v>1066</v>
      </c>
      <c r="B55" s="620">
        <v>22601.94</v>
      </c>
      <c r="C55" s="620">
        <v>26327.34</v>
      </c>
      <c r="D55" s="620">
        <f>C55-B55</f>
        <v>3725.4000000000015</v>
      </c>
      <c r="E55" s="632" t="s">
        <v>31</v>
      </c>
      <c r="F55" s="616"/>
    </row>
    <row r="56" spans="1:6" ht="10.5" customHeight="1" x14ac:dyDescent="0.25">
      <c r="A56" s="622" t="s">
        <v>1021</v>
      </c>
      <c r="B56" s="623"/>
      <c r="C56" s="623"/>
      <c r="D56" s="623"/>
      <c r="E56" s="624"/>
      <c r="F56" s="616"/>
    </row>
    <row r="57" spans="1:6" x14ac:dyDescent="0.25">
      <c r="A57" s="634" t="s">
        <v>1050</v>
      </c>
      <c r="B57" s="626">
        <f>B64+B58+B61+B63+B62+B59+B60</f>
        <v>1160.606</v>
      </c>
      <c r="C57" s="626">
        <f>C64+C58+C61+C63+C62+C59+C60</f>
        <v>2772.54</v>
      </c>
      <c r="D57" s="626">
        <f>D64+D58+D61+D63+D62+D59+D60</f>
        <v>1611.9340000000002</v>
      </c>
      <c r="E57" s="627" t="s">
        <v>31</v>
      </c>
      <c r="F57" s="616"/>
    </row>
    <row r="58" spans="1:6" ht="158.4" x14ac:dyDescent="0.25">
      <c r="A58" s="1044" t="s">
        <v>1011</v>
      </c>
      <c r="B58" s="629">
        <v>49.5</v>
      </c>
      <c r="C58" s="629">
        <v>1308.58</v>
      </c>
      <c r="D58" s="629">
        <f>C58-B58</f>
        <v>1259.08</v>
      </c>
      <c r="E58" s="624" t="s">
        <v>1067</v>
      </c>
      <c r="F58" s="616" t="s">
        <v>1068</v>
      </c>
    </row>
    <row r="59" spans="1:6" ht="52.8" x14ac:dyDescent="0.25">
      <c r="A59" s="1044"/>
      <c r="B59" s="629">
        <v>814.14</v>
      </c>
      <c r="C59" s="629">
        <v>439.83</v>
      </c>
      <c r="D59" s="629">
        <f t="shared" ref="D59:D63" si="3">C59-B59</f>
        <v>-374.31</v>
      </c>
      <c r="E59" s="624" t="s">
        <v>807</v>
      </c>
      <c r="F59" s="616" t="s">
        <v>1069</v>
      </c>
    </row>
    <row r="60" spans="1:6" ht="26.4" x14ac:dyDescent="0.25">
      <c r="A60" s="1044"/>
      <c r="B60" s="629">
        <f>25.11+98.81</f>
        <v>123.92</v>
      </c>
      <c r="C60" s="629">
        <v>0</v>
      </c>
      <c r="D60" s="629">
        <f t="shared" si="3"/>
        <v>-123.92</v>
      </c>
      <c r="E60" s="624" t="s">
        <v>1070</v>
      </c>
      <c r="F60" s="616" t="s">
        <v>1071</v>
      </c>
    </row>
    <row r="61" spans="1:6" ht="26.4" x14ac:dyDescent="0.25">
      <c r="A61" s="1044"/>
      <c r="B61" s="629">
        <v>69.180000000000007</v>
      </c>
      <c r="C61" s="629">
        <f>370.44+56.096</f>
        <v>426.536</v>
      </c>
      <c r="D61" s="629">
        <f t="shared" si="3"/>
        <v>357.35599999999999</v>
      </c>
      <c r="E61" s="624" t="s">
        <v>1072</v>
      </c>
      <c r="F61" s="616" t="s">
        <v>1073</v>
      </c>
    </row>
    <row r="62" spans="1:6" ht="26.4" x14ac:dyDescent="0.25">
      <c r="A62" s="1044"/>
      <c r="B62" s="629">
        <v>2.1659999999999999</v>
      </c>
      <c r="C62" s="629">
        <v>61.701999999999998</v>
      </c>
      <c r="D62" s="629">
        <f t="shared" si="3"/>
        <v>59.536000000000001</v>
      </c>
      <c r="E62" s="624" t="s">
        <v>1074</v>
      </c>
      <c r="F62" s="616">
        <v>272270310</v>
      </c>
    </row>
    <row r="63" spans="1:6" x14ac:dyDescent="0.25">
      <c r="A63" s="1044"/>
      <c r="B63" s="629">
        <v>101.7</v>
      </c>
      <c r="C63" s="629">
        <f>185.7+115.292</f>
        <v>300.99199999999996</v>
      </c>
      <c r="D63" s="629">
        <f t="shared" si="3"/>
        <v>199.29199999999997</v>
      </c>
      <c r="E63" s="624" t="s">
        <v>1075</v>
      </c>
      <c r="F63" s="616" t="s">
        <v>1076</v>
      </c>
    </row>
    <row r="64" spans="1:6" ht="39.6" x14ac:dyDescent="0.25">
      <c r="A64" s="1044"/>
      <c r="B64" s="629">
        <v>0</v>
      </c>
      <c r="C64" s="629">
        <v>234.9</v>
      </c>
      <c r="D64" s="629">
        <f>C64-B64</f>
        <v>234.9</v>
      </c>
      <c r="E64" s="624" t="s">
        <v>1077</v>
      </c>
      <c r="F64" s="616" t="s">
        <v>1078</v>
      </c>
    </row>
    <row r="65" spans="1:6" x14ac:dyDescent="0.25">
      <c r="A65" s="646" t="s">
        <v>1079</v>
      </c>
      <c r="B65" s="626">
        <f>B67+B69+B72+B73+B70+B71+B68+B66</f>
        <v>19134.18</v>
      </c>
      <c r="C65" s="626">
        <f>C67+C69+C72+C73+C70+C71+C68+C66</f>
        <v>21151.269</v>
      </c>
      <c r="D65" s="626">
        <f>D67+D69+D72+D73+D70+D71+D68+D66</f>
        <v>2017.0889999999981</v>
      </c>
      <c r="E65" s="627" t="s">
        <v>31</v>
      </c>
      <c r="F65" s="616"/>
    </row>
    <row r="66" spans="1:6" s="644" customFormat="1" ht="26.4" x14ac:dyDescent="0.25">
      <c r="A66" s="635" t="s">
        <v>1034</v>
      </c>
      <c r="B66" s="636">
        <v>29.07</v>
      </c>
      <c r="C66" s="636">
        <f>99+40.5</f>
        <v>139.5</v>
      </c>
      <c r="D66" s="636">
        <f>C66-B66</f>
        <v>110.43</v>
      </c>
      <c r="E66" s="637" t="s">
        <v>1080</v>
      </c>
      <c r="F66" s="638" t="s">
        <v>1081</v>
      </c>
    </row>
    <row r="67" spans="1:6" ht="66" x14ac:dyDescent="0.25">
      <c r="A67" s="1044" t="s">
        <v>1011</v>
      </c>
      <c r="B67" s="629">
        <v>0</v>
      </c>
      <c r="C67" s="629">
        <v>65.400000000000006</v>
      </c>
      <c r="D67" s="636">
        <f>C67-B67</f>
        <v>65.400000000000006</v>
      </c>
      <c r="E67" s="624" t="s">
        <v>1082</v>
      </c>
      <c r="F67" s="616">
        <v>210178300</v>
      </c>
    </row>
    <row r="68" spans="1:6" ht="66" x14ac:dyDescent="0.25">
      <c r="A68" s="1044"/>
      <c r="B68" s="629">
        <v>14139.53</v>
      </c>
      <c r="C68" s="629">
        <v>15081.97</v>
      </c>
      <c r="D68" s="636">
        <f>C68-B68</f>
        <v>942.43999999999869</v>
      </c>
      <c r="E68" s="624" t="s">
        <v>1083</v>
      </c>
      <c r="F68" s="616">
        <v>210178620</v>
      </c>
    </row>
    <row r="69" spans="1:6" ht="39.6" x14ac:dyDescent="0.25">
      <c r="A69" s="1044"/>
      <c r="B69" s="629">
        <v>0</v>
      </c>
      <c r="C69" s="629">
        <v>287.10000000000002</v>
      </c>
      <c r="D69" s="636">
        <f t="shared" ref="D69:D73" si="4">C69-B69</f>
        <v>287.10000000000002</v>
      </c>
      <c r="E69" s="624" t="s">
        <v>690</v>
      </c>
      <c r="F69" s="616">
        <v>21185303</v>
      </c>
    </row>
    <row r="70" spans="1:6" x14ac:dyDescent="0.25">
      <c r="A70" s="1044"/>
      <c r="B70" s="629">
        <v>8.57</v>
      </c>
      <c r="C70" s="629">
        <v>84.379000000000005</v>
      </c>
      <c r="D70" s="636">
        <f t="shared" si="4"/>
        <v>75.808999999999997</v>
      </c>
      <c r="E70" s="624" t="s">
        <v>1084</v>
      </c>
      <c r="F70" s="616" t="s">
        <v>1085</v>
      </c>
    </row>
    <row r="71" spans="1:6" ht="52.8" x14ac:dyDescent="0.25">
      <c r="A71" s="1044"/>
      <c r="B71" s="629">
        <v>0</v>
      </c>
      <c r="C71" s="629">
        <v>110.92</v>
      </c>
      <c r="D71" s="636">
        <f t="shared" si="4"/>
        <v>110.92</v>
      </c>
      <c r="E71" s="624" t="s">
        <v>1086</v>
      </c>
      <c r="F71" s="616" t="s">
        <v>1087</v>
      </c>
    </row>
    <row r="72" spans="1:6" ht="26.4" x14ac:dyDescent="0.25">
      <c r="A72" s="1044"/>
      <c r="B72" s="629">
        <v>59.5</v>
      </c>
      <c r="C72" s="629">
        <v>149.1</v>
      </c>
      <c r="D72" s="636">
        <f t="shared" si="4"/>
        <v>89.6</v>
      </c>
      <c r="E72" s="624" t="s">
        <v>1088</v>
      </c>
      <c r="F72" s="616">
        <v>271078260</v>
      </c>
    </row>
    <row r="73" spans="1:6" ht="39.6" x14ac:dyDescent="0.25">
      <c r="A73" s="640" t="s">
        <v>1027</v>
      </c>
      <c r="B73" s="629">
        <v>4897.51</v>
      </c>
      <c r="C73" s="629">
        <v>5232.8999999999996</v>
      </c>
      <c r="D73" s="629">
        <f t="shared" si="4"/>
        <v>335.38999999999942</v>
      </c>
      <c r="E73" s="624" t="s">
        <v>1089</v>
      </c>
      <c r="F73" s="616">
        <v>70100</v>
      </c>
    </row>
    <row r="74" spans="1:6" ht="1.5" customHeight="1" x14ac:dyDescent="0.25">
      <c r="A74" s="649"/>
      <c r="B74" s="650"/>
      <c r="C74" s="650"/>
      <c r="D74" s="650"/>
      <c r="E74" s="624"/>
      <c r="F74" s="616"/>
    </row>
    <row r="75" spans="1:6" x14ac:dyDescent="0.25">
      <c r="A75" s="618" t="s">
        <v>1090</v>
      </c>
      <c r="B75" s="620">
        <v>1384.01</v>
      </c>
      <c r="C75" s="620">
        <v>1603.91</v>
      </c>
      <c r="D75" s="620">
        <f>C75-B75</f>
        <v>219.90000000000009</v>
      </c>
      <c r="E75" s="621" t="s">
        <v>31</v>
      </c>
      <c r="F75" s="616"/>
    </row>
    <row r="76" spans="1:6" ht="10.5" customHeight="1" x14ac:dyDescent="0.25">
      <c r="A76" s="633" t="s">
        <v>1021</v>
      </c>
      <c r="B76" s="623"/>
      <c r="C76" s="623"/>
      <c r="D76" s="623"/>
      <c r="E76" s="624"/>
      <c r="F76" s="616"/>
    </row>
    <row r="77" spans="1:6" x14ac:dyDescent="0.25">
      <c r="A77" s="634" t="s">
        <v>1091</v>
      </c>
      <c r="B77" s="626">
        <f>B78+B79+B80</f>
        <v>1036.3</v>
      </c>
      <c r="C77" s="626">
        <f>C78+C79+C80</f>
        <v>1310.53</v>
      </c>
      <c r="D77" s="626">
        <f>D78+D79+D80</f>
        <v>274.22999999999996</v>
      </c>
      <c r="E77" s="627" t="s">
        <v>31</v>
      </c>
      <c r="F77" s="616"/>
    </row>
    <row r="78" spans="1:6" ht="39.6" x14ac:dyDescent="0.25">
      <c r="A78" s="640" t="s">
        <v>1027</v>
      </c>
      <c r="B78" s="629">
        <v>1036.3</v>
      </c>
      <c r="C78" s="629">
        <v>1162.33</v>
      </c>
      <c r="D78" s="629">
        <f>C78-B78</f>
        <v>126.02999999999997</v>
      </c>
      <c r="E78" s="624" t="s">
        <v>1092</v>
      </c>
      <c r="F78" s="616">
        <v>70100</v>
      </c>
    </row>
    <row r="79" spans="1:6" ht="26.4" x14ac:dyDescent="0.25">
      <c r="A79" s="1044" t="s">
        <v>1011</v>
      </c>
      <c r="B79" s="629">
        <v>0</v>
      </c>
      <c r="C79" s="629">
        <v>62.2</v>
      </c>
      <c r="D79" s="629">
        <f>C79-B79</f>
        <v>62.2</v>
      </c>
      <c r="E79" s="624" t="s">
        <v>1093</v>
      </c>
      <c r="F79" s="616" t="s">
        <v>1094</v>
      </c>
    </row>
    <row r="80" spans="1:6" ht="66" x14ac:dyDescent="0.25">
      <c r="A80" s="1053"/>
      <c r="B80" s="629">
        <v>0</v>
      </c>
      <c r="C80" s="629">
        <v>86</v>
      </c>
      <c r="D80" s="629">
        <f>C80-B80</f>
        <v>86</v>
      </c>
      <c r="E80" s="624" t="s">
        <v>1095</v>
      </c>
      <c r="F80" s="616">
        <v>401378310</v>
      </c>
    </row>
    <row r="81" spans="1:6" ht="1.5" customHeight="1" x14ac:dyDescent="0.25">
      <c r="A81" s="640"/>
      <c r="B81" s="629"/>
      <c r="C81" s="629"/>
      <c r="D81" s="629"/>
      <c r="E81" s="624"/>
      <c r="F81" s="616"/>
    </row>
    <row r="82" spans="1:6" x14ac:dyDescent="0.25">
      <c r="A82" s="618" t="s">
        <v>1096</v>
      </c>
      <c r="B82" s="620">
        <v>9241.7800000000007</v>
      </c>
      <c r="C82" s="620">
        <v>16775.46</v>
      </c>
      <c r="D82" s="620">
        <f t="shared" si="0"/>
        <v>7533.6799999999985</v>
      </c>
      <c r="E82" s="632" t="s">
        <v>31</v>
      </c>
      <c r="F82" s="616"/>
    </row>
    <row r="83" spans="1:6" ht="10.5" customHeight="1" x14ac:dyDescent="0.25">
      <c r="A83" s="633" t="s">
        <v>1021</v>
      </c>
      <c r="B83" s="623"/>
      <c r="C83" s="623"/>
      <c r="D83" s="623"/>
      <c r="E83" s="624"/>
      <c r="F83" s="616"/>
    </row>
    <row r="84" spans="1:6" x14ac:dyDescent="0.25">
      <c r="A84" s="634" t="s">
        <v>1050</v>
      </c>
      <c r="B84" s="626">
        <f>B85+B86+B87+B89+B88</f>
        <v>12.116999999999999</v>
      </c>
      <c r="C84" s="626">
        <f>C85+C86+C87+C89+C88</f>
        <v>720.11099999999999</v>
      </c>
      <c r="D84" s="626">
        <f>D85+D86+D87+D89+D88</f>
        <v>707.99400000000003</v>
      </c>
      <c r="E84" s="651" t="s">
        <v>31</v>
      </c>
      <c r="F84" s="616"/>
    </row>
    <row r="85" spans="1:6" s="615" customFormat="1" ht="52.8" x14ac:dyDescent="0.25">
      <c r="A85" s="1055" t="s">
        <v>1041</v>
      </c>
      <c r="B85" s="636">
        <v>9.6</v>
      </c>
      <c r="C85" s="636">
        <v>254.26</v>
      </c>
      <c r="D85" s="636">
        <f>C85-B85</f>
        <v>244.66</v>
      </c>
      <c r="E85" s="637" t="s">
        <v>1097</v>
      </c>
      <c r="F85" s="616" t="s">
        <v>818</v>
      </c>
    </row>
    <row r="86" spans="1:6" s="615" customFormat="1" ht="26.4" x14ac:dyDescent="0.25">
      <c r="A86" s="1055"/>
      <c r="B86" s="636">
        <v>2.5169999999999999</v>
      </c>
      <c r="C86" s="636">
        <f>2.368+225.753</f>
        <v>228.12099999999998</v>
      </c>
      <c r="D86" s="636">
        <f t="shared" ref="D86:D89" si="5">C86-B86</f>
        <v>225.60399999999998</v>
      </c>
      <c r="E86" s="637" t="s">
        <v>1098</v>
      </c>
      <c r="F86" s="616" t="s">
        <v>1099</v>
      </c>
    </row>
    <row r="87" spans="1:6" s="615" customFormat="1" ht="66" x14ac:dyDescent="0.25">
      <c r="A87" s="1055"/>
      <c r="B87" s="636">
        <v>0</v>
      </c>
      <c r="C87" s="636">
        <v>113.1</v>
      </c>
      <c r="D87" s="636">
        <f t="shared" si="5"/>
        <v>113.1</v>
      </c>
      <c r="E87" s="637" t="s">
        <v>1100</v>
      </c>
      <c r="F87" s="616" t="s">
        <v>1101</v>
      </c>
    </row>
    <row r="88" spans="1:6" s="615" customFormat="1" ht="39.6" x14ac:dyDescent="0.25">
      <c r="A88" s="1055"/>
      <c r="B88" s="636">
        <v>0</v>
      </c>
      <c r="C88" s="636">
        <v>53.03</v>
      </c>
      <c r="D88" s="636">
        <f t="shared" si="5"/>
        <v>53.03</v>
      </c>
      <c r="E88" s="637" t="s">
        <v>1102</v>
      </c>
      <c r="F88" s="616" t="s">
        <v>1103</v>
      </c>
    </row>
    <row r="89" spans="1:6" s="615" customFormat="1" ht="39.6" x14ac:dyDescent="0.25">
      <c r="A89" s="1055"/>
      <c r="B89" s="636">
        <v>0</v>
      </c>
      <c r="C89" s="636">
        <v>71.599999999999994</v>
      </c>
      <c r="D89" s="636">
        <f t="shared" si="5"/>
        <v>71.599999999999994</v>
      </c>
      <c r="E89" s="637" t="s">
        <v>1104</v>
      </c>
      <c r="F89" s="616" t="s">
        <v>821</v>
      </c>
    </row>
    <row r="90" spans="1:6" x14ac:dyDescent="0.25">
      <c r="A90" s="634" t="s">
        <v>1105</v>
      </c>
      <c r="B90" s="626">
        <f>B91+B93+B94+B95+B96+B97+B98+B99+B100+B101+B103+B92+B102</f>
        <v>7149.78</v>
      </c>
      <c r="C90" s="626">
        <f>C91+C93+C94+C95+C96+C97+C98+C99+C100+C101+C103+C92+C102</f>
        <v>14133.678</v>
      </c>
      <c r="D90" s="626">
        <f>D91+D93+D94+D95+D96+D97+D98+D99+D100+D101+D103+D92+D102</f>
        <v>6983.8979999999992</v>
      </c>
      <c r="E90" s="651" t="s">
        <v>31</v>
      </c>
      <c r="F90" s="616"/>
    </row>
    <row r="91" spans="1:6" ht="39.6" x14ac:dyDescent="0.25">
      <c r="A91" s="1044" t="s">
        <v>1106</v>
      </c>
      <c r="B91" s="629">
        <v>1474</v>
      </c>
      <c r="C91" s="629">
        <v>1839.2</v>
      </c>
      <c r="D91" s="629">
        <f>C91-B91</f>
        <v>365.20000000000005</v>
      </c>
      <c r="E91" s="624" t="s">
        <v>1107</v>
      </c>
      <c r="F91" s="616">
        <v>183070630</v>
      </c>
    </row>
    <row r="92" spans="1:6" ht="39.6" x14ac:dyDescent="0.25">
      <c r="A92" s="1053"/>
      <c r="B92" s="629">
        <v>0</v>
      </c>
      <c r="C92" s="629">
        <v>84.957999999999998</v>
      </c>
      <c r="D92" s="629">
        <f>C92-B92</f>
        <v>84.957999999999998</v>
      </c>
      <c r="E92" s="624" t="s">
        <v>1108</v>
      </c>
      <c r="F92" s="616" t="s">
        <v>1109</v>
      </c>
    </row>
    <row r="93" spans="1:6" ht="92.4" x14ac:dyDescent="0.25">
      <c r="A93" s="640" t="s">
        <v>1011</v>
      </c>
      <c r="B93" s="629">
        <v>0</v>
      </c>
      <c r="C93" s="629">
        <v>337.9</v>
      </c>
      <c r="D93" s="629">
        <f>C93-B93</f>
        <v>337.9</v>
      </c>
      <c r="E93" s="624" t="s">
        <v>1110</v>
      </c>
      <c r="F93" s="616" t="s">
        <v>1111</v>
      </c>
    </row>
    <row r="94" spans="1:6" ht="79.2" x14ac:dyDescent="0.25">
      <c r="A94" s="1044" t="s">
        <v>1027</v>
      </c>
      <c r="B94" s="629">
        <v>286.60000000000002</v>
      </c>
      <c r="C94" s="629">
        <v>550.79999999999995</v>
      </c>
      <c r="D94" s="629">
        <f t="shared" ref="D94:D102" si="6">C94-B94</f>
        <v>264.19999999999993</v>
      </c>
      <c r="E94" s="624" t="s">
        <v>1112</v>
      </c>
      <c r="F94" s="616" t="s">
        <v>1113</v>
      </c>
    </row>
    <row r="95" spans="1:6" ht="52.8" x14ac:dyDescent="0.25">
      <c r="A95" s="1044"/>
      <c r="B95" s="629">
        <v>0</v>
      </c>
      <c r="C95" s="629">
        <v>436.8</v>
      </c>
      <c r="D95" s="629">
        <f t="shared" si="6"/>
        <v>436.8</v>
      </c>
      <c r="E95" s="624" t="s">
        <v>1114</v>
      </c>
      <c r="F95" s="616" t="s">
        <v>1115</v>
      </c>
    </row>
    <row r="96" spans="1:6" ht="66" x14ac:dyDescent="0.25">
      <c r="A96" s="1044"/>
      <c r="B96" s="629">
        <v>0</v>
      </c>
      <c r="C96" s="629">
        <v>663.1</v>
      </c>
      <c r="D96" s="629">
        <f t="shared" si="6"/>
        <v>663.1</v>
      </c>
      <c r="E96" s="624" t="s">
        <v>1116</v>
      </c>
      <c r="F96" s="616" t="s">
        <v>1117</v>
      </c>
    </row>
    <row r="97" spans="1:6" ht="52.8" x14ac:dyDescent="0.25">
      <c r="A97" s="1044"/>
      <c r="B97" s="629">
        <v>153.80000000000001</v>
      </c>
      <c r="C97" s="629">
        <v>510.8</v>
      </c>
      <c r="D97" s="629">
        <f t="shared" si="6"/>
        <v>357</v>
      </c>
      <c r="E97" s="624" t="s">
        <v>1118</v>
      </c>
      <c r="F97" s="616" t="s">
        <v>1119</v>
      </c>
    </row>
    <row r="98" spans="1:6" ht="52.5" customHeight="1" x14ac:dyDescent="0.25">
      <c r="A98" s="1044"/>
      <c r="B98" s="629">
        <v>0</v>
      </c>
      <c r="C98" s="629">
        <v>1109.98</v>
      </c>
      <c r="D98" s="629">
        <f t="shared" si="6"/>
        <v>1109.98</v>
      </c>
      <c r="E98" s="624" t="s">
        <v>1120</v>
      </c>
      <c r="F98" s="616" t="s">
        <v>1121</v>
      </c>
    </row>
    <row r="99" spans="1:6" ht="105" customHeight="1" x14ac:dyDescent="0.25">
      <c r="A99" s="1044"/>
      <c r="B99" s="629">
        <v>0</v>
      </c>
      <c r="C99" s="629">
        <v>196.04</v>
      </c>
      <c r="D99" s="629">
        <f t="shared" si="6"/>
        <v>196.04</v>
      </c>
      <c r="E99" s="624" t="s">
        <v>1122</v>
      </c>
      <c r="F99" s="616" t="s">
        <v>1123</v>
      </c>
    </row>
    <row r="100" spans="1:6" ht="78.75" customHeight="1" x14ac:dyDescent="0.25">
      <c r="A100" s="1044"/>
      <c r="B100" s="629">
        <v>0</v>
      </c>
      <c r="C100" s="629">
        <v>106.89</v>
      </c>
      <c r="D100" s="629">
        <f t="shared" si="6"/>
        <v>106.89</v>
      </c>
      <c r="E100" s="624" t="s">
        <v>1124</v>
      </c>
      <c r="F100" s="616" t="s">
        <v>1125</v>
      </c>
    </row>
    <row r="101" spans="1:6" ht="26.4" x14ac:dyDescent="0.25">
      <c r="A101" s="1044"/>
      <c r="B101" s="629">
        <v>0</v>
      </c>
      <c r="C101" s="629">
        <v>166.68</v>
      </c>
      <c r="D101" s="629">
        <f t="shared" si="6"/>
        <v>166.68</v>
      </c>
      <c r="E101" s="624" t="s">
        <v>1126</v>
      </c>
      <c r="F101" s="616" t="s">
        <v>1127</v>
      </c>
    </row>
    <row r="102" spans="1:6" ht="52.8" x14ac:dyDescent="0.25">
      <c r="A102" s="1044"/>
      <c r="B102" s="629">
        <v>0</v>
      </c>
      <c r="C102" s="629">
        <v>436.8</v>
      </c>
      <c r="D102" s="629">
        <f t="shared" si="6"/>
        <v>436.8</v>
      </c>
      <c r="E102" s="624" t="s">
        <v>1114</v>
      </c>
      <c r="F102" s="616" t="s">
        <v>1115</v>
      </c>
    </row>
    <row r="103" spans="1:6" ht="26.4" x14ac:dyDescent="0.25">
      <c r="A103" s="1044"/>
      <c r="B103" s="629">
        <v>5235.38</v>
      </c>
      <c r="C103" s="629">
        <v>7693.73</v>
      </c>
      <c r="D103" s="629">
        <f>C103-B103</f>
        <v>2458.3499999999995</v>
      </c>
      <c r="E103" s="624" t="s">
        <v>1128</v>
      </c>
      <c r="F103" s="616">
        <v>70100</v>
      </c>
    </row>
    <row r="104" spans="1:6" ht="1.5" customHeight="1" x14ac:dyDescent="0.25">
      <c r="A104" s="640"/>
      <c r="B104" s="629"/>
      <c r="C104" s="629"/>
      <c r="D104" s="629"/>
      <c r="E104" s="624"/>
      <c r="F104" s="616"/>
    </row>
    <row r="105" spans="1:6" x14ac:dyDescent="0.25">
      <c r="A105" s="618" t="s">
        <v>1129</v>
      </c>
      <c r="B105" s="620">
        <v>22678.03</v>
      </c>
      <c r="C105" s="620">
        <v>26988.54</v>
      </c>
      <c r="D105" s="620">
        <f t="shared" si="0"/>
        <v>4310.510000000002</v>
      </c>
      <c r="E105" s="621" t="s">
        <v>31</v>
      </c>
      <c r="F105" s="616"/>
    </row>
    <row r="106" spans="1:6" s="643" customFormat="1" ht="10.5" customHeight="1" x14ac:dyDescent="0.25">
      <c r="A106" s="633" t="s">
        <v>1021</v>
      </c>
      <c r="B106" s="641"/>
      <c r="C106" s="641"/>
      <c r="D106" s="641"/>
      <c r="E106" s="642"/>
      <c r="F106" s="616"/>
    </row>
    <row r="107" spans="1:6" s="643" customFormat="1" x14ac:dyDescent="0.25">
      <c r="A107" s="634" t="s">
        <v>1105</v>
      </c>
      <c r="B107" s="626">
        <f>B108</f>
        <v>698.31299999999999</v>
      </c>
      <c r="C107" s="626">
        <f>C108</f>
        <v>0</v>
      </c>
      <c r="D107" s="626">
        <f>D108</f>
        <v>-698.31299999999999</v>
      </c>
      <c r="E107" s="627" t="s">
        <v>31</v>
      </c>
      <c r="F107" s="616"/>
    </row>
    <row r="108" spans="1:6" s="643" customFormat="1" ht="52.8" x14ac:dyDescent="0.25">
      <c r="A108" s="640" t="s">
        <v>1011</v>
      </c>
      <c r="B108" s="641">
        <v>698.31299999999999</v>
      </c>
      <c r="C108" s="641">
        <v>0</v>
      </c>
      <c r="D108" s="641">
        <f>C108-B108</f>
        <v>-698.31299999999999</v>
      </c>
      <c r="E108" s="642" t="s">
        <v>1130</v>
      </c>
      <c r="F108" s="616" t="s">
        <v>1131</v>
      </c>
    </row>
    <row r="109" spans="1:6" x14ac:dyDescent="0.25">
      <c r="A109" s="646" t="s">
        <v>1079</v>
      </c>
      <c r="B109" s="626">
        <f>B110</f>
        <v>0</v>
      </c>
      <c r="C109" s="626">
        <f>C110</f>
        <v>254.37</v>
      </c>
      <c r="D109" s="626">
        <f>D110</f>
        <v>254.37</v>
      </c>
      <c r="E109" s="652" t="s">
        <v>31</v>
      </c>
      <c r="F109" s="616"/>
    </row>
    <row r="110" spans="1:6" s="643" customFormat="1" ht="39.6" x14ac:dyDescent="0.25">
      <c r="A110" s="640" t="s">
        <v>1011</v>
      </c>
      <c r="B110" s="641">
        <v>0</v>
      </c>
      <c r="C110" s="641">
        <v>254.37</v>
      </c>
      <c r="D110" s="641">
        <f>C110-B110</f>
        <v>254.37</v>
      </c>
      <c r="E110" s="642" t="s">
        <v>894</v>
      </c>
      <c r="F110" s="616" t="s">
        <v>893</v>
      </c>
    </row>
    <row r="111" spans="1:6" s="643" customFormat="1" x14ac:dyDescent="0.25">
      <c r="A111" s="634" t="s">
        <v>1132</v>
      </c>
      <c r="B111" s="626">
        <f>B112+B115+B114+B116+B117+B118+B119+B113</f>
        <v>4706.25</v>
      </c>
      <c r="C111" s="626">
        <f t="shared" ref="C111:D111" si="7">C112+C115+C114+C116+C117+C118+C119+C113</f>
        <v>9690.2749999999996</v>
      </c>
      <c r="D111" s="626">
        <f t="shared" si="7"/>
        <v>4984.0250000000015</v>
      </c>
      <c r="E111" s="652" t="s">
        <v>31</v>
      </c>
      <c r="F111" s="616"/>
    </row>
    <row r="112" spans="1:6" s="643" customFormat="1" ht="26.4" x14ac:dyDescent="0.25">
      <c r="A112" s="1044" t="s">
        <v>1027</v>
      </c>
      <c r="B112" s="645">
        <v>2561.25</v>
      </c>
      <c r="C112" s="645">
        <v>2779.88</v>
      </c>
      <c r="D112" s="645">
        <f>C112-B112</f>
        <v>218.63000000000011</v>
      </c>
      <c r="E112" s="642" t="s">
        <v>1133</v>
      </c>
      <c r="F112" s="616">
        <v>70100</v>
      </c>
    </row>
    <row r="113" spans="1:6" s="643" customFormat="1" x14ac:dyDescent="0.25">
      <c r="A113" s="1044"/>
      <c r="B113" s="645">
        <v>256.7</v>
      </c>
      <c r="C113" s="645">
        <v>446.8</v>
      </c>
      <c r="D113" s="645">
        <f t="shared" ref="D113:D114" si="8">C113-B113</f>
        <v>190.10000000000002</v>
      </c>
      <c r="E113" s="642" t="s">
        <v>1134</v>
      </c>
      <c r="F113" s="616"/>
    </row>
    <row r="114" spans="1:6" s="643" customFormat="1" ht="105.6" x14ac:dyDescent="0.25">
      <c r="A114" s="1044"/>
      <c r="B114" s="645">
        <v>0</v>
      </c>
      <c r="C114" s="645">
        <v>126.18</v>
      </c>
      <c r="D114" s="645">
        <f t="shared" si="8"/>
        <v>126.18</v>
      </c>
      <c r="E114" s="642" t="s">
        <v>1135</v>
      </c>
      <c r="F114" s="616" t="s">
        <v>1136</v>
      </c>
    </row>
    <row r="115" spans="1:6" s="643" customFormat="1" ht="26.4" x14ac:dyDescent="0.25">
      <c r="A115" s="1044" t="s">
        <v>1106</v>
      </c>
      <c r="B115" s="645">
        <v>345.4</v>
      </c>
      <c r="C115" s="645">
        <v>809.1</v>
      </c>
      <c r="D115" s="645">
        <f>C115-B115</f>
        <v>463.70000000000005</v>
      </c>
      <c r="E115" s="642" t="s">
        <v>1137</v>
      </c>
      <c r="F115" s="616" t="s">
        <v>1138</v>
      </c>
    </row>
    <row r="116" spans="1:6" s="643" customFormat="1" x14ac:dyDescent="0.25">
      <c r="A116" s="1044"/>
      <c r="B116" s="645">
        <v>1542.9</v>
      </c>
      <c r="C116" s="645">
        <v>2276.63</v>
      </c>
      <c r="D116" s="645">
        <f>C116-B116</f>
        <v>733.73</v>
      </c>
      <c r="E116" s="642" t="s">
        <v>1139</v>
      </c>
      <c r="F116" s="616">
        <v>320177120</v>
      </c>
    </row>
    <row r="117" spans="1:6" s="643" customFormat="1" ht="66" x14ac:dyDescent="0.25">
      <c r="A117" s="1044"/>
      <c r="B117" s="645">
        <v>0</v>
      </c>
      <c r="C117" s="645">
        <v>1153.1600000000001</v>
      </c>
      <c r="D117" s="645">
        <f>C117-B117</f>
        <v>1153.1600000000001</v>
      </c>
      <c r="E117" s="642" t="s">
        <v>1140</v>
      </c>
      <c r="F117" s="616" t="s">
        <v>1141</v>
      </c>
    </row>
    <row r="118" spans="1:6" s="643" customFormat="1" ht="26.4" x14ac:dyDescent="0.25">
      <c r="A118" s="1044"/>
      <c r="B118" s="645">
        <v>0</v>
      </c>
      <c r="C118" s="645">
        <f>1046.42+901.4</f>
        <v>1947.8200000000002</v>
      </c>
      <c r="D118" s="645">
        <f>C118-B118</f>
        <v>1947.8200000000002</v>
      </c>
      <c r="E118" s="642" t="s">
        <v>1142</v>
      </c>
      <c r="F118" s="616" t="s">
        <v>1143</v>
      </c>
    </row>
    <row r="119" spans="1:6" s="643" customFormat="1" ht="52.8" x14ac:dyDescent="0.25">
      <c r="A119" s="1044"/>
      <c r="B119" s="645">
        <v>0</v>
      </c>
      <c r="C119" s="645">
        <v>150.70500000000001</v>
      </c>
      <c r="D119" s="645">
        <f>C119-B119</f>
        <v>150.70500000000001</v>
      </c>
      <c r="E119" s="642" t="s">
        <v>1144</v>
      </c>
      <c r="F119" s="616">
        <v>322977400</v>
      </c>
    </row>
    <row r="120" spans="1:6" s="643" customFormat="1" ht="1.5" customHeight="1" x14ac:dyDescent="0.25">
      <c r="A120" s="653"/>
      <c r="B120" s="645"/>
      <c r="C120" s="645"/>
      <c r="D120" s="645"/>
      <c r="E120" s="642"/>
      <c r="F120" s="616"/>
    </row>
    <row r="121" spans="1:6" x14ac:dyDescent="0.25">
      <c r="A121" s="618" t="s">
        <v>1145</v>
      </c>
      <c r="B121" s="620">
        <v>809.78</v>
      </c>
      <c r="C121" s="620">
        <v>1154.42</v>
      </c>
      <c r="D121" s="620">
        <f>C121-B121</f>
        <v>344.6400000000001</v>
      </c>
      <c r="E121" s="654" t="s">
        <v>31</v>
      </c>
      <c r="F121" s="616"/>
    </row>
    <row r="122" spans="1:6" s="643" customFormat="1" ht="10.5" customHeight="1" x14ac:dyDescent="0.25">
      <c r="A122" s="633" t="s">
        <v>1021</v>
      </c>
      <c r="B122" s="641"/>
      <c r="C122" s="641"/>
      <c r="D122" s="641"/>
      <c r="E122" s="655"/>
      <c r="F122" s="616"/>
    </row>
    <row r="123" spans="1:6" s="643" customFormat="1" x14ac:dyDescent="0.25">
      <c r="A123" s="634" t="s">
        <v>1050</v>
      </c>
      <c r="B123" s="626">
        <f>B124+B125</f>
        <v>66.2</v>
      </c>
      <c r="C123" s="626">
        <f>C124+C125</f>
        <v>246.41</v>
      </c>
      <c r="D123" s="626">
        <f>D124+D125</f>
        <v>180.21</v>
      </c>
      <c r="E123" s="652" t="s">
        <v>31</v>
      </c>
      <c r="F123" s="616"/>
    </row>
    <row r="124" spans="1:6" s="643" customFormat="1" ht="79.5" customHeight="1" x14ac:dyDescent="0.25">
      <c r="A124" s="640" t="s">
        <v>1041</v>
      </c>
      <c r="B124" s="645">
        <v>0</v>
      </c>
      <c r="C124" s="645">
        <v>52.51</v>
      </c>
      <c r="D124" s="645">
        <f>C124-B124</f>
        <v>52.51</v>
      </c>
      <c r="E124" s="642" t="s">
        <v>1146</v>
      </c>
      <c r="F124" s="616" t="s">
        <v>1147</v>
      </c>
    </row>
    <row r="125" spans="1:6" s="643" customFormat="1" ht="52.8" x14ac:dyDescent="0.25">
      <c r="A125" s="640" t="s">
        <v>1011</v>
      </c>
      <c r="B125" s="645">
        <v>66.2</v>
      </c>
      <c r="C125" s="645">
        <v>193.9</v>
      </c>
      <c r="D125" s="645">
        <f>C125-B125</f>
        <v>127.7</v>
      </c>
      <c r="E125" s="642" t="s">
        <v>1148</v>
      </c>
      <c r="F125" s="616" t="s">
        <v>1149</v>
      </c>
    </row>
    <row r="126" spans="1:6" s="643" customFormat="1" x14ac:dyDescent="0.25">
      <c r="A126" s="646" t="s">
        <v>1150</v>
      </c>
      <c r="B126" s="626">
        <f>+B127+B128+B130+B129</f>
        <v>404.4</v>
      </c>
      <c r="C126" s="626">
        <f>+C127+C128+C130+C129</f>
        <v>659.40199999999993</v>
      </c>
      <c r="D126" s="626">
        <f>+D127+D128+D130+D129</f>
        <v>255.00200000000001</v>
      </c>
      <c r="E126" s="652" t="s">
        <v>31</v>
      </c>
      <c r="F126" s="616"/>
    </row>
    <row r="127" spans="1:6" s="643" customFormat="1" ht="39.6" x14ac:dyDescent="0.25">
      <c r="A127" s="640" t="s">
        <v>1027</v>
      </c>
      <c r="B127" s="645">
        <v>404.4</v>
      </c>
      <c r="C127" s="645">
        <v>586.15</v>
      </c>
      <c r="D127" s="645">
        <f>C127-B127</f>
        <v>181.75</v>
      </c>
      <c r="E127" s="642" t="s">
        <v>1151</v>
      </c>
      <c r="F127" s="616">
        <v>70100</v>
      </c>
    </row>
    <row r="128" spans="1:6" s="643" customFormat="1" ht="39.6" x14ac:dyDescent="0.25">
      <c r="A128" s="1044" t="s">
        <v>1011</v>
      </c>
      <c r="B128" s="645">
        <v>0</v>
      </c>
      <c r="C128" s="645">
        <v>30.17</v>
      </c>
      <c r="D128" s="645">
        <f>C128-B128</f>
        <v>30.17</v>
      </c>
      <c r="E128" s="642" t="s">
        <v>1152</v>
      </c>
      <c r="F128" s="616" t="s">
        <v>1153</v>
      </c>
    </row>
    <row r="129" spans="1:28" s="643" customFormat="1" ht="52.8" x14ac:dyDescent="0.25">
      <c r="A129" s="1044"/>
      <c r="B129" s="645">
        <v>0</v>
      </c>
      <c r="C129" s="645">
        <v>17.571999999999999</v>
      </c>
      <c r="D129" s="645">
        <f>C129-B129</f>
        <v>17.571999999999999</v>
      </c>
      <c r="E129" s="642" t="s">
        <v>1154</v>
      </c>
      <c r="F129" s="616" t="s">
        <v>1155</v>
      </c>
    </row>
    <row r="130" spans="1:28" s="643" customFormat="1" ht="26.4" x14ac:dyDescent="0.25">
      <c r="A130" s="1053"/>
      <c r="B130" s="645">
        <v>0</v>
      </c>
      <c r="C130" s="645">
        <v>25.51</v>
      </c>
      <c r="D130" s="645">
        <f>C130-B130</f>
        <v>25.51</v>
      </c>
      <c r="E130" s="642" t="s">
        <v>1156</v>
      </c>
      <c r="F130" s="616" t="s">
        <v>1157</v>
      </c>
    </row>
    <row r="131" spans="1:28" s="643" customFormat="1" ht="1.5" customHeight="1" x14ac:dyDescent="0.25">
      <c r="A131" s="640"/>
      <c r="B131" s="645"/>
      <c r="C131" s="645"/>
      <c r="D131" s="645"/>
      <c r="E131" s="642"/>
      <c r="F131" s="616"/>
    </row>
    <row r="132" spans="1:28" x14ac:dyDescent="0.25">
      <c r="A132" s="618" t="s">
        <v>1158</v>
      </c>
      <c r="B132" s="620">
        <v>96.73</v>
      </c>
      <c r="C132" s="620">
        <v>154.04</v>
      </c>
      <c r="D132" s="620">
        <f t="shared" si="0"/>
        <v>57.309999999999988</v>
      </c>
      <c r="E132" s="654" t="s">
        <v>31</v>
      </c>
      <c r="F132" s="616"/>
    </row>
    <row r="133" spans="1:28" s="643" customFormat="1" ht="1.5" customHeight="1" x14ac:dyDescent="0.25">
      <c r="A133" s="656"/>
      <c r="B133" s="657"/>
      <c r="C133" s="657"/>
      <c r="D133" s="657"/>
      <c r="E133" s="655"/>
      <c r="F133" s="616"/>
    </row>
    <row r="134" spans="1:28" ht="26.4" x14ac:dyDescent="0.25">
      <c r="A134" s="618" t="s">
        <v>1159</v>
      </c>
      <c r="B134" s="620">
        <v>696.38</v>
      </c>
      <c r="C134" s="620">
        <v>1049.8900000000001</v>
      </c>
      <c r="D134" s="620">
        <f t="shared" si="0"/>
        <v>353.5100000000001</v>
      </c>
      <c r="E134" s="654" t="s">
        <v>31</v>
      </c>
      <c r="F134" s="616"/>
    </row>
    <row r="135" spans="1:28" x14ac:dyDescent="0.25">
      <c r="A135" s="634" t="s">
        <v>1010</v>
      </c>
      <c r="B135" s="626"/>
      <c r="C135" s="626"/>
      <c r="D135" s="626"/>
      <c r="E135" s="652" t="s">
        <v>31</v>
      </c>
      <c r="F135" s="616"/>
    </row>
    <row r="136" spans="1:28" ht="79.2" x14ac:dyDescent="0.25">
      <c r="A136" s="628" t="s">
        <v>1160</v>
      </c>
      <c r="B136" s="629">
        <v>696.4</v>
      </c>
      <c r="C136" s="629">
        <v>1049.9000000000001</v>
      </c>
      <c r="D136" s="629">
        <f>C136-B136</f>
        <v>353.50000000000011</v>
      </c>
      <c r="E136" s="624" t="s">
        <v>1161</v>
      </c>
      <c r="F136" s="616">
        <v>2220571750</v>
      </c>
      <c r="G136" s="615"/>
      <c r="H136" s="615"/>
      <c r="I136" s="615"/>
      <c r="J136" s="615"/>
      <c r="K136" s="615"/>
      <c r="L136" s="615"/>
      <c r="M136" s="615"/>
      <c r="N136" s="615"/>
      <c r="O136" s="615"/>
      <c r="P136" s="615"/>
      <c r="Q136" s="615"/>
      <c r="R136" s="615"/>
      <c r="S136" s="615"/>
      <c r="T136" s="615"/>
      <c r="U136" s="615"/>
      <c r="V136" s="615"/>
      <c r="W136" s="615"/>
      <c r="X136" s="615"/>
      <c r="Y136" s="615"/>
      <c r="Z136" s="615"/>
      <c r="AA136" s="615"/>
      <c r="AB136" s="615"/>
    </row>
    <row r="137" spans="1:28" ht="1.5" customHeight="1" x14ac:dyDescent="0.25">
      <c r="A137" s="628"/>
      <c r="B137" s="629"/>
      <c r="C137" s="629"/>
      <c r="D137" s="629"/>
      <c r="E137" s="624"/>
      <c r="F137" s="616"/>
      <c r="G137" s="615"/>
      <c r="H137" s="615"/>
      <c r="I137" s="615"/>
      <c r="J137" s="615"/>
      <c r="K137" s="615"/>
      <c r="L137" s="615"/>
      <c r="M137" s="615"/>
      <c r="N137" s="615"/>
      <c r="O137" s="615"/>
      <c r="P137" s="615"/>
      <c r="Q137" s="615"/>
      <c r="R137" s="615"/>
      <c r="S137" s="615"/>
      <c r="T137" s="615"/>
      <c r="U137" s="615"/>
      <c r="V137" s="615"/>
      <c r="W137" s="615"/>
      <c r="X137" s="615"/>
      <c r="Y137" s="615"/>
      <c r="Z137" s="615"/>
      <c r="AA137" s="615"/>
      <c r="AB137" s="615"/>
    </row>
    <row r="138" spans="1:28" ht="52.8" x14ac:dyDescent="0.25">
      <c r="A138" s="618" t="s">
        <v>1162</v>
      </c>
      <c r="B138" s="620">
        <v>6715.18</v>
      </c>
      <c r="C138" s="620">
        <v>6226</v>
      </c>
      <c r="D138" s="620">
        <f t="shared" si="0"/>
        <v>-489.18000000000029</v>
      </c>
      <c r="E138" s="654" t="s">
        <v>31</v>
      </c>
      <c r="F138" s="616"/>
      <c r="G138" s="615"/>
      <c r="H138" s="615"/>
      <c r="I138" s="615"/>
      <c r="J138" s="615"/>
      <c r="K138" s="615"/>
      <c r="L138" s="615"/>
      <c r="M138" s="615"/>
      <c r="N138" s="615"/>
      <c r="O138" s="615"/>
      <c r="P138" s="615"/>
      <c r="Q138" s="615"/>
      <c r="R138" s="615"/>
      <c r="S138" s="615"/>
      <c r="T138" s="615"/>
      <c r="U138" s="615"/>
      <c r="V138" s="615"/>
      <c r="W138" s="615"/>
      <c r="X138" s="615"/>
      <c r="Y138" s="615"/>
      <c r="Z138" s="615"/>
      <c r="AA138" s="615"/>
      <c r="AB138" s="615"/>
    </row>
    <row r="139" spans="1:28" s="643" customFormat="1" ht="10.5" customHeight="1" x14ac:dyDescent="0.25">
      <c r="A139" s="633" t="s">
        <v>1021</v>
      </c>
      <c r="B139" s="641"/>
      <c r="C139" s="641"/>
      <c r="D139" s="641"/>
      <c r="E139" s="655"/>
      <c r="F139" s="616"/>
      <c r="G139" s="615"/>
      <c r="H139" s="615"/>
      <c r="I139" s="615"/>
      <c r="J139" s="615"/>
      <c r="K139" s="615"/>
      <c r="L139" s="615"/>
      <c r="M139" s="615"/>
      <c r="N139" s="615"/>
      <c r="O139" s="615"/>
      <c r="P139" s="615"/>
      <c r="Q139" s="615"/>
      <c r="R139" s="615"/>
      <c r="S139" s="615"/>
      <c r="T139" s="615"/>
      <c r="U139" s="615"/>
      <c r="V139" s="615"/>
      <c r="W139" s="615"/>
      <c r="X139" s="615"/>
      <c r="Y139" s="615"/>
      <c r="Z139" s="615"/>
      <c r="AA139" s="615"/>
      <c r="AB139" s="615"/>
    </row>
    <row r="140" spans="1:28" s="643" customFormat="1" x14ac:dyDescent="0.25">
      <c r="A140" s="634" t="s">
        <v>1010</v>
      </c>
      <c r="B140" s="626">
        <f>B141+B142</f>
        <v>4832.0429999999997</v>
      </c>
      <c r="C140" s="626">
        <f>C141+C142</f>
        <v>4393.259</v>
      </c>
      <c r="D140" s="626">
        <f>D141+D142</f>
        <v>-438.78400000000011</v>
      </c>
      <c r="E140" s="658" t="s">
        <v>31</v>
      </c>
      <c r="F140" s="616"/>
      <c r="G140" s="615"/>
      <c r="H140" s="615"/>
      <c r="I140" s="615"/>
      <c r="J140" s="615"/>
      <c r="K140" s="615"/>
      <c r="L140" s="615"/>
      <c r="M140" s="615"/>
      <c r="N140" s="615"/>
      <c r="O140" s="615"/>
      <c r="P140" s="615"/>
      <c r="Q140" s="615"/>
      <c r="R140" s="615"/>
      <c r="S140" s="615"/>
      <c r="T140" s="615"/>
      <c r="U140" s="615"/>
      <c r="V140" s="615"/>
      <c r="W140" s="615"/>
      <c r="X140" s="615"/>
      <c r="Y140" s="615"/>
      <c r="Z140" s="615"/>
      <c r="AA140" s="615"/>
      <c r="AB140" s="615"/>
    </row>
    <row r="141" spans="1:28" s="643" customFormat="1" ht="26.4" x14ac:dyDescent="0.25">
      <c r="A141" s="1044" t="s">
        <v>1011</v>
      </c>
      <c r="B141" s="645">
        <v>924</v>
      </c>
      <c r="C141" s="645">
        <v>136.5</v>
      </c>
      <c r="D141" s="645">
        <f>C141-B141</f>
        <v>-787.5</v>
      </c>
      <c r="E141" s="642" t="s">
        <v>600</v>
      </c>
      <c r="F141" s="616">
        <v>2230678030</v>
      </c>
      <c r="G141" s="615"/>
      <c r="H141" s="615"/>
      <c r="I141" s="615"/>
      <c r="J141" s="615"/>
      <c r="K141" s="615"/>
      <c r="L141" s="615"/>
      <c r="M141" s="615"/>
      <c r="N141" s="615"/>
      <c r="O141" s="615"/>
      <c r="P141" s="615"/>
      <c r="Q141" s="615"/>
      <c r="R141" s="615"/>
      <c r="S141" s="615"/>
      <c r="T141" s="615"/>
      <c r="U141" s="615"/>
      <c r="V141" s="615"/>
      <c r="W141" s="615"/>
      <c r="X141" s="615"/>
      <c r="Y141" s="615"/>
      <c r="Z141" s="615"/>
      <c r="AA141" s="615"/>
      <c r="AB141" s="615"/>
    </row>
    <row r="142" spans="1:28" s="643" customFormat="1" x14ac:dyDescent="0.25">
      <c r="A142" s="1053"/>
      <c r="B142" s="645">
        <v>3908.0430000000001</v>
      </c>
      <c r="C142" s="645">
        <v>4256.759</v>
      </c>
      <c r="D142" s="645">
        <f>C142-B142</f>
        <v>348.71599999999989</v>
      </c>
      <c r="E142" s="642" t="s">
        <v>1163</v>
      </c>
      <c r="F142" s="616">
        <v>2230678230</v>
      </c>
      <c r="G142" s="615"/>
      <c r="H142" s="615"/>
      <c r="I142" s="615"/>
      <c r="J142" s="615"/>
      <c r="K142" s="615"/>
      <c r="L142" s="615"/>
      <c r="M142" s="615"/>
      <c r="N142" s="615"/>
      <c r="O142" s="615"/>
      <c r="P142" s="615"/>
      <c r="Q142" s="615"/>
      <c r="R142" s="615"/>
      <c r="S142" s="615"/>
      <c r="T142" s="615"/>
      <c r="U142" s="615"/>
      <c r="V142" s="615"/>
      <c r="W142" s="615"/>
      <c r="X142" s="615"/>
      <c r="Y142" s="615"/>
      <c r="Z142" s="615"/>
      <c r="AA142" s="615"/>
      <c r="AB142" s="615"/>
    </row>
    <row r="143" spans="1:28" ht="13.8" thickBot="1" x14ac:dyDescent="0.3">
      <c r="A143" s="659" t="s">
        <v>318</v>
      </c>
      <c r="B143" s="660">
        <f>B9+B15+B17+B19+B37+B53+B55+B75+B82+B105+B121+B132+B134+B138</f>
        <v>89455.44</v>
      </c>
      <c r="C143" s="660">
        <f>C9+C15+C17+C19+C37+C53+C55+C75+C82+C105+C121+C132+C134+C138</f>
        <v>112788.29</v>
      </c>
      <c r="D143" s="660">
        <f>D9+D15+D17+D19+D37+D53+D55+D75+D82+D105+D121+D132+D134+D138+0.02</f>
        <v>23332.87</v>
      </c>
      <c r="E143" s="661" t="s">
        <v>105</v>
      </c>
      <c r="F143" s="616"/>
    </row>
    <row r="144" spans="1:28" ht="13.8" thickTop="1" x14ac:dyDescent="0.25">
      <c r="A144" s="662"/>
      <c r="B144" s="663"/>
      <c r="C144" s="663"/>
      <c r="D144" s="663"/>
      <c r="E144" s="662"/>
      <c r="F144" s="664"/>
      <c r="G144" s="665"/>
    </row>
    <row r="145" spans="1:7" x14ac:dyDescent="0.25">
      <c r="A145" s="662"/>
      <c r="B145" s="663"/>
      <c r="C145" s="663"/>
      <c r="D145" s="663"/>
      <c r="E145" s="662"/>
      <c r="F145" s="664"/>
      <c r="G145" s="665"/>
    </row>
    <row r="146" spans="1:7" x14ac:dyDescent="0.25">
      <c r="A146" s="662"/>
      <c r="B146" s="663"/>
      <c r="C146" s="663"/>
      <c r="D146" s="663"/>
      <c r="E146" s="662"/>
      <c r="F146" s="664"/>
      <c r="G146" s="665"/>
    </row>
    <row r="147" spans="1:7" x14ac:dyDescent="0.25">
      <c r="A147" s="662"/>
      <c r="B147" s="663"/>
      <c r="C147" s="663"/>
      <c r="D147" s="663"/>
      <c r="E147" s="662"/>
      <c r="F147" s="664"/>
      <c r="G147" s="665"/>
    </row>
    <row r="148" spans="1:7" x14ac:dyDescent="0.25">
      <c r="A148" s="666"/>
      <c r="B148" s="667"/>
      <c r="C148" s="667"/>
      <c r="D148" s="667"/>
      <c r="E148" s="668"/>
      <c r="F148" s="664"/>
      <c r="G148" s="665"/>
    </row>
    <row r="149" spans="1:7" x14ac:dyDescent="0.25">
      <c r="A149" s="669"/>
      <c r="B149" s="670"/>
      <c r="C149" s="670"/>
      <c r="D149" s="670"/>
      <c r="E149" s="671"/>
      <c r="F149" s="664"/>
      <c r="G149" s="665"/>
    </row>
    <row r="150" spans="1:7" x14ac:dyDescent="0.25">
      <c r="A150" s="669"/>
      <c r="B150" s="670"/>
      <c r="C150" s="670"/>
      <c r="D150" s="670"/>
      <c r="E150" s="671"/>
      <c r="F150" s="664"/>
      <c r="G150" s="665"/>
    </row>
    <row r="151" spans="1:7" x14ac:dyDescent="0.25">
      <c r="A151" s="669"/>
      <c r="B151" s="670"/>
      <c r="C151" s="670"/>
      <c r="D151" s="670"/>
      <c r="E151" s="671"/>
      <c r="F151" s="664"/>
      <c r="G151" s="665"/>
    </row>
    <row r="152" spans="1:7" x14ac:dyDescent="0.25">
      <c r="A152" s="669"/>
      <c r="B152" s="670"/>
      <c r="C152" s="670"/>
      <c r="D152" s="670"/>
      <c r="E152" s="671"/>
      <c r="F152" s="664"/>
      <c r="G152" s="665"/>
    </row>
    <row r="153" spans="1:7" x14ac:dyDescent="0.25">
      <c r="A153" s="669"/>
      <c r="B153" s="670"/>
      <c r="C153" s="670"/>
      <c r="D153" s="670"/>
      <c r="E153" s="671"/>
      <c r="F153" s="664"/>
      <c r="G153" s="665"/>
    </row>
    <row r="154" spans="1:7" x14ac:dyDescent="0.25">
      <c r="A154" s="669"/>
      <c r="B154" s="670"/>
      <c r="C154" s="670"/>
      <c r="D154" s="670"/>
      <c r="E154" s="671"/>
      <c r="F154" s="664"/>
      <c r="G154" s="665"/>
    </row>
    <row r="155" spans="1:7" x14ac:dyDescent="0.25">
      <c r="A155" s="669"/>
      <c r="B155" s="670"/>
      <c r="C155" s="670"/>
      <c r="D155" s="670"/>
      <c r="E155" s="672"/>
      <c r="F155" s="664"/>
      <c r="G155" s="665"/>
    </row>
    <row r="156" spans="1:7" x14ac:dyDescent="0.25">
      <c r="A156" s="662"/>
      <c r="B156" s="663"/>
      <c r="C156" s="1054"/>
      <c r="D156" s="1054"/>
      <c r="E156" s="673"/>
      <c r="F156" s="664"/>
      <c r="G156" s="665"/>
    </row>
    <row r="157" spans="1:7" x14ac:dyDescent="0.25">
      <c r="A157" s="662"/>
      <c r="B157" s="663"/>
      <c r="C157" s="663"/>
      <c r="D157" s="663"/>
      <c r="E157" s="662"/>
      <c r="F157" s="664"/>
      <c r="G157" s="665"/>
    </row>
    <row r="158" spans="1:7" x14ac:dyDescent="0.25">
      <c r="A158" s="662"/>
      <c r="B158" s="663"/>
      <c r="C158" s="663"/>
      <c r="D158" s="663"/>
      <c r="E158" s="662"/>
      <c r="F158" s="664"/>
      <c r="G158" s="665"/>
    </row>
    <row r="159" spans="1:7" x14ac:dyDescent="0.25">
      <c r="A159" s="662"/>
      <c r="B159" s="663"/>
      <c r="C159" s="663"/>
      <c r="D159" s="663"/>
      <c r="E159" s="662"/>
      <c r="F159" s="664"/>
      <c r="G159" s="665"/>
    </row>
    <row r="160" spans="1:7" x14ac:dyDescent="0.25">
      <c r="A160" s="662"/>
      <c r="B160" s="663"/>
      <c r="C160" s="663"/>
      <c r="D160" s="663"/>
      <c r="E160" s="662"/>
      <c r="F160" s="664"/>
      <c r="G160" s="665"/>
    </row>
    <row r="161" spans="1:7" x14ac:dyDescent="0.25">
      <c r="A161" s="662"/>
      <c r="B161" s="663"/>
      <c r="C161" s="663"/>
      <c r="D161" s="663"/>
      <c r="E161" s="662"/>
      <c r="F161" s="664"/>
      <c r="G161" s="665"/>
    </row>
    <row r="162" spans="1:7" x14ac:dyDescent="0.25">
      <c r="A162" s="662"/>
      <c r="B162" s="663"/>
      <c r="C162" s="663"/>
      <c r="D162" s="663"/>
      <c r="E162" s="662"/>
      <c r="F162" s="664"/>
      <c r="G162" s="665"/>
    </row>
    <row r="163" spans="1:7" x14ac:dyDescent="0.25">
      <c r="A163" s="662"/>
      <c r="B163" s="663"/>
      <c r="C163" s="663"/>
      <c r="D163" s="663"/>
      <c r="E163" s="662"/>
      <c r="F163" s="664"/>
      <c r="G163" s="665"/>
    </row>
    <row r="164" spans="1:7" x14ac:dyDescent="0.25">
      <c r="A164" s="662"/>
      <c r="B164" s="663"/>
      <c r="C164" s="663"/>
      <c r="D164" s="663"/>
      <c r="E164" s="662"/>
      <c r="F164" s="664"/>
      <c r="G164" s="665"/>
    </row>
    <row r="165" spans="1:7" x14ac:dyDescent="0.25">
      <c r="A165" s="662"/>
      <c r="B165" s="663"/>
      <c r="C165" s="663"/>
      <c r="D165" s="663"/>
      <c r="E165" s="662"/>
      <c r="F165" s="664"/>
      <c r="G165" s="665"/>
    </row>
    <row r="166" spans="1:7" x14ac:dyDescent="0.25">
      <c r="A166" s="662"/>
      <c r="B166" s="663"/>
      <c r="C166" s="663"/>
      <c r="D166" s="663"/>
      <c r="E166" s="662"/>
      <c r="F166" s="664"/>
      <c r="G166" s="665"/>
    </row>
    <row r="167" spans="1:7" x14ac:dyDescent="0.25">
      <c r="A167" s="662"/>
      <c r="B167" s="663"/>
      <c r="C167" s="663"/>
      <c r="D167" s="663"/>
      <c r="E167" s="662"/>
      <c r="F167" s="664"/>
      <c r="G167" s="665"/>
    </row>
    <row r="168" spans="1:7" x14ac:dyDescent="0.25">
      <c r="A168" s="662"/>
      <c r="B168" s="663"/>
      <c r="C168" s="663"/>
      <c r="D168" s="663"/>
      <c r="E168" s="662"/>
      <c r="F168" s="664"/>
      <c r="G168" s="665"/>
    </row>
    <row r="169" spans="1:7" x14ac:dyDescent="0.25">
      <c r="A169" s="662"/>
      <c r="B169" s="663"/>
      <c r="C169" s="663"/>
      <c r="D169" s="663"/>
      <c r="E169" s="662"/>
      <c r="F169" s="664"/>
      <c r="G169" s="665"/>
    </row>
    <row r="170" spans="1:7" x14ac:dyDescent="0.25">
      <c r="A170" s="662"/>
      <c r="B170" s="663"/>
      <c r="C170" s="663"/>
      <c r="D170" s="663"/>
      <c r="E170" s="662"/>
      <c r="F170" s="664"/>
      <c r="G170" s="665"/>
    </row>
    <row r="171" spans="1:7" x14ac:dyDescent="0.25">
      <c r="A171" s="662"/>
      <c r="B171" s="663"/>
      <c r="C171" s="663"/>
      <c r="D171" s="663"/>
      <c r="E171" s="662"/>
      <c r="F171" s="664"/>
      <c r="G171" s="665"/>
    </row>
    <row r="172" spans="1:7" x14ac:dyDescent="0.25">
      <c r="A172" s="662"/>
      <c r="B172" s="663"/>
      <c r="C172" s="663"/>
      <c r="D172" s="663"/>
      <c r="E172" s="662"/>
      <c r="F172" s="664"/>
      <c r="G172" s="665"/>
    </row>
    <row r="173" spans="1:7" x14ac:dyDescent="0.25">
      <c r="A173" s="662"/>
      <c r="B173" s="663"/>
      <c r="C173" s="663"/>
      <c r="D173" s="663"/>
      <c r="E173" s="662"/>
      <c r="F173" s="664"/>
      <c r="G173" s="665"/>
    </row>
    <row r="174" spans="1:7" x14ac:dyDescent="0.25">
      <c r="A174" s="662"/>
      <c r="B174" s="663"/>
      <c r="C174" s="663"/>
      <c r="D174" s="663"/>
      <c r="E174" s="662"/>
      <c r="F174" s="664"/>
      <c r="G174" s="665"/>
    </row>
    <row r="175" spans="1:7" x14ac:dyDescent="0.25">
      <c r="A175" s="662"/>
      <c r="B175" s="663"/>
      <c r="C175" s="663"/>
      <c r="D175" s="663"/>
      <c r="E175" s="662"/>
      <c r="F175" s="664"/>
      <c r="G175" s="665"/>
    </row>
    <row r="176" spans="1:7" x14ac:dyDescent="0.25">
      <c r="A176" s="662"/>
      <c r="B176" s="663"/>
      <c r="C176" s="663"/>
      <c r="D176" s="663"/>
      <c r="E176" s="662"/>
      <c r="F176" s="664"/>
      <c r="G176" s="665"/>
    </row>
    <row r="177" spans="1:7" x14ac:dyDescent="0.25">
      <c r="A177" s="662"/>
      <c r="B177" s="663"/>
      <c r="C177" s="663"/>
      <c r="D177" s="663"/>
      <c r="E177" s="662"/>
      <c r="F177" s="664"/>
      <c r="G177" s="665"/>
    </row>
    <row r="178" spans="1:7" x14ac:dyDescent="0.25">
      <c r="A178" s="662"/>
      <c r="B178" s="663"/>
      <c r="C178" s="663"/>
      <c r="D178" s="663"/>
      <c r="E178" s="662"/>
      <c r="F178" s="664"/>
      <c r="G178" s="665"/>
    </row>
    <row r="179" spans="1:7" x14ac:dyDescent="0.25">
      <c r="A179" s="662"/>
      <c r="B179" s="663"/>
      <c r="C179" s="663"/>
      <c r="D179" s="663"/>
      <c r="E179" s="662"/>
      <c r="F179" s="664"/>
      <c r="G179" s="665"/>
    </row>
    <row r="180" spans="1:7" x14ac:dyDescent="0.25">
      <c r="A180" s="662"/>
      <c r="B180" s="663"/>
      <c r="C180" s="663"/>
      <c r="D180" s="663"/>
      <c r="E180" s="662"/>
      <c r="F180" s="664"/>
      <c r="G180" s="665"/>
    </row>
    <row r="181" spans="1:7" x14ac:dyDescent="0.25">
      <c r="A181" s="662"/>
      <c r="B181" s="663"/>
      <c r="C181" s="663"/>
      <c r="D181" s="663"/>
      <c r="E181" s="662"/>
      <c r="F181" s="664"/>
      <c r="G181" s="665"/>
    </row>
    <row r="182" spans="1:7" x14ac:dyDescent="0.25">
      <c r="A182" s="662"/>
      <c r="B182" s="663"/>
      <c r="C182" s="663"/>
      <c r="D182" s="663"/>
      <c r="E182" s="662"/>
      <c r="F182" s="664"/>
      <c r="G182" s="665"/>
    </row>
  </sheetData>
  <mergeCells count="21">
    <mergeCell ref="A128:A130"/>
    <mergeCell ref="A141:A142"/>
    <mergeCell ref="C156:D156"/>
    <mergeCell ref="A79:A80"/>
    <mergeCell ref="A85:A89"/>
    <mergeCell ref="A91:A92"/>
    <mergeCell ref="A94:A103"/>
    <mergeCell ref="A112:A114"/>
    <mergeCell ref="A115:A119"/>
    <mergeCell ref="A67:A72"/>
    <mergeCell ref="A3:E4"/>
    <mergeCell ref="A7:A8"/>
    <mergeCell ref="B7:C7"/>
    <mergeCell ref="D7:D8"/>
    <mergeCell ref="E7:E8"/>
    <mergeCell ref="A24:A25"/>
    <mergeCell ref="A29:A31"/>
    <mergeCell ref="A33:A35"/>
    <mergeCell ref="A41:A43"/>
    <mergeCell ref="A45:A48"/>
    <mergeCell ref="A58:A64"/>
  </mergeCells>
  <pageMargins left="0.39370078740157483" right="0.39370078740157483" top="0.74803149606299213" bottom="0.74803149606299213" header="0.31496062992125984" footer="0.31496062992125984"/>
  <pageSetup paperSize="9" scale="97" fitToHeight="0"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Y44"/>
  <sheetViews>
    <sheetView zoomScale="130" zoomScaleNormal="130" workbookViewId="0">
      <selection activeCell="Q7" sqref="Q7"/>
    </sheetView>
  </sheetViews>
  <sheetFormatPr defaultColWidth="9.109375" defaultRowHeight="13.2" x14ac:dyDescent="0.25"/>
  <cols>
    <col min="1" max="1" width="41.6640625" style="674" customWidth="1"/>
    <col min="2" max="2" width="4.109375" style="674" customWidth="1"/>
    <col min="3" max="3" width="4.88671875" style="674" customWidth="1"/>
    <col min="4" max="4" width="8.6640625" style="674" hidden="1" customWidth="1"/>
    <col min="5" max="5" width="10.88671875" style="674" hidden="1" customWidth="1"/>
    <col min="6" max="6" width="9.44140625" style="674" hidden="1" customWidth="1"/>
    <col min="7" max="7" width="9.5546875" style="674" hidden="1" customWidth="1"/>
    <col min="8" max="8" width="7.6640625" style="675" hidden="1" customWidth="1"/>
    <col min="9" max="9" width="10.44140625" style="675" hidden="1" customWidth="1"/>
    <col min="10" max="11" width="9.109375" style="675" hidden="1" customWidth="1"/>
    <col min="12" max="12" width="8.6640625" style="675" hidden="1" customWidth="1"/>
    <col min="13" max="13" width="10.5546875" style="675" hidden="1" customWidth="1"/>
    <col min="14" max="14" width="9.109375" style="675" hidden="1" customWidth="1"/>
    <col min="15" max="15" width="7.109375" style="675" hidden="1" customWidth="1"/>
    <col min="16" max="27" width="9.33203125" style="675" customWidth="1"/>
    <col min="28" max="103" width="9.109375" style="677"/>
    <col min="104" max="16384" width="9.109375" style="675"/>
  </cols>
  <sheetData>
    <row r="1" spans="1:103" ht="13.95" customHeight="1" x14ac:dyDescent="0.25">
      <c r="O1" s="676" t="s">
        <v>1001</v>
      </c>
      <c r="Z1" s="1057" t="s">
        <v>2459</v>
      </c>
      <c r="AA1" s="1057"/>
    </row>
    <row r="3" spans="1:103" s="674" customFormat="1" ht="30.6" customHeight="1" x14ac:dyDescent="0.25">
      <c r="A3" s="1058" t="s">
        <v>2458</v>
      </c>
      <c r="B3" s="1058"/>
      <c r="C3" s="1058"/>
      <c r="D3" s="1058"/>
      <c r="E3" s="1058"/>
      <c r="F3" s="1058"/>
      <c r="G3" s="1058"/>
      <c r="H3" s="1058"/>
      <c r="I3" s="1058"/>
      <c r="J3" s="1058"/>
      <c r="K3" s="1058"/>
      <c r="L3" s="1058"/>
      <c r="M3" s="1058"/>
      <c r="N3" s="1058"/>
      <c r="O3" s="1058"/>
      <c r="P3" s="1058"/>
      <c r="Q3" s="1058"/>
      <c r="R3" s="1058"/>
      <c r="S3" s="1058"/>
      <c r="T3" s="1058"/>
      <c r="U3" s="1058"/>
      <c r="V3" s="1058"/>
      <c r="W3" s="1058"/>
      <c r="X3" s="1058"/>
      <c r="Y3" s="1058"/>
      <c r="Z3" s="1058"/>
      <c r="AA3" s="1058"/>
      <c r="AB3" s="678"/>
      <c r="AC3" s="678"/>
      <c r="AD3" s="678"/>
      <c r="AE3" s="678"/>
      <c r="AF3" s="678"/>
      <c r="AG3" s="678"/>
      <c r="AH3" s="678"/>
      <c r="AI3" s="678"/>
      <c r="AJ3" s="678"/>
      <c r="AK3" s="678"/>
      <c r="AL3" s="678"/>
      <c r="AM3" s="678"/>
      <c r="AN3" s="678"/>
      <c r="AO3" s="678"/>
      <c r="AP3" s="678"/>
      <c r="AQ3" s="678"/>
      <c r="AR3" s="678"/>
      <c r="AS3" s="678"/>
      <c r="AT3" s="678"/>
      <c r="AU3" s="678"/>
      <c r="AV3" s="678"/>
      <c r="AW3" s="678"/>
      <c r="AX3" s="678"/>
      <c r="AY3" s="678"/>
      <c r="AZ3" s="678"/>
      <c r="BA3" s="678"/>
      <c r="BB3" s="678"/>
      <c r="BC3" s="678"/>
      <c r="BD3" s="678"/>
      <c r="BE3" s="678"/>
      <c r="BF3" s="678"/>
      <c r="BG3" s="678"/>
      <c r="BH3" s="678"/>
      <c r="BI3" s="678"/>
      <c r="BJ3" s="678"/>
      <c r="BK3" s="678"/>
      <c r="BL3" s="678"/>
      <c r="BM3" s="678"/>
      <c r="BN3" s="678"/>
      <c r="BO3" s="678"/>
      <c r="BP3" s="678"/>
      <c r="BQ3" s="678"/>
      <c r="BR3" s="678"/>
      <c r="BS3" s="678"/>
      <c r="BT3" s="678"/>
      <c r="BU3" s="678"/>
      <c r="BV3" s="678"/>
      <c r="BW3" s="678"/>
      <c r="BX3" s="678"/>
      <c r="BY3" s="678"/>
      <c r="BZ3" s="678"/>
      <c r="CA3" s="678"/>
      <c r="CB3" s="678"/>
      <c r="CC3" s="678"/>
      <c r="CD3" s="678"/>
      <c r="CE3" s="678"/>
      <c r="CF3" s="678"/>
      <c r="CG3" s="678"/>
      <c r="CH3" s="678"/>
      <c r="CI3" s="678"/>
      <c r="CJ3" s="678"/>
      <c r="CK3" s="678"/>
      <c r="CL3" s="678"/>
      <c r="CM3" s="678"/>
      <c r="CN3" s="678"/>
      <c r="CO3" s="678"/>
      <c r="CP3" s="678"/>
      <c r="CQ3" s="678"/>
      <c r="CR3" s="678"/>
      <c r="CS3" s="678"/>
      <c r="CT3" s="678"/>
      <c r="CU3" s="678"/>
      <c r="CV3" s="678"/>
      <c r="CW3" s="678"/>
      <c r="CX3" s="678"/>
      <c r="CY3" s="678"/>
    </row>
    <row r="4" spans="1:103" s="674" customFormat="1" ht="14.4" customHeight="1" thickBot="1" x14ac:dyDescent="0.3">
      <c r="A4" s="679"/>
      <c r="B4" s="679"/>
      <c r="C4" s="679"/>
      <c r="D4" s="679"/>
      <c r="E4" s="679"/>
      <c r="F4" s="679"/>
      <c r="G4" s="679"/>
      <c r="H4" s="679"/>
      <c r="I4" s="679"/>
      <c r="J4" s="679"/>
      <c r="K4" s="679"/>
      <c r="AA4" s="674" t="s">
        <v>713</v>
      </c>
      <c r="AB4" s="678"/>
      <c r="AC4" s="678"/>
      <c r="AD4" s="678"/>
      <c r="AE4" s="678"/>
      <c r="AF4" s="678"/>
      <c r="AG4" s="678"/>
      <c r="AH4" s="678"/>
      <c r="AI4" s="678"/>
      <c r="AJ4" s="678"/>
      <c r="AK4" s="678"/>
      <c r="AL4" s="678"/>
      <c r="AM4" s="678"/>
      <c r="AN4" s="678"/>
      <c r="AO4" s="678"/>
      <c r="AP4" s="678"/>
      <c r="AQ4" s="678"/>
      <c r="AR4" s="678"/>
      <c r="AS4" s="678"/>
      <c r="AT4" s="678"/>
      <c r="AU4" s="678"/>
      <c r="AV4" s="678"/>
      <c r="AW4" s="678"/>
      <c r="AX4" s="678"/>
      <c r="AY4" s="678"/>
      <c r="AZ4" s="678"/>
      <c r="BA4" s="678"/>
      <c r="BB4" s="678"/>
      <c r="BC4" s="678"/>
      <c r="BD4" s="678"/>
      <c r="BE4" s="678"/>
      <c r="BF4" s="678"/>
      <c r="BG4" s="678"/>
      <c r="BH4" s="678"/>
      <c r="BI4" s="678"/>
      <c r="BJ4" s="678"/>
      <c r="BK4" s="678"/>
      <c r="BL4" s="678"/>
      <c r="BM4" s="678"/>
      <c r="BN4" s="678"/>
      <c r="BO4" s="678"/>
      <c r="BP4" s="678"/>
      <c r="BQ4" s="678"/>
      <c r="BR4" s="678"/>
      <c r="BS4" s="678"/>
      <c r="BT4" s="678"/>
      <c r="BU4" s="678"/>
      <c r="BV4" s="678"/>
      <c r="BW4" s="678"/>
      <c r="BX4" s="678"/>
      <c r="BY4" s="678"/>
      <c r="BZ4" s="678"/>
      <c r="CA4" s="678"/>
      <c r="CB4" s="678"/>
      <c r="CC4" s="678"/>
      <c r="CD4" s="678"/>
      <c r="CE4" s="678"/>
      <c r="CF4" s="678"/>
      <c r="CG4" s="678"/>
      <c r="CH4" s="678"/>
      <c r="CI4" s="678"/>
      <c r="CJ4" s="678"/>
      <c r="CK4" s="678"/>
      <c r="CL4" s="678"/>
      <c r="CM4" s="678"/>
      <c r="CN4" s="678"/>
      <c r="CO4" s="678"/>
      <c r="CP4" s="678"/>
      <c r="CQ4" s="678"/>
      <c r="CR4" s="678"/>
      <c r="CS4" s="678"/>
      <c r="CT4" s="678"/>
      <c r="CU4" s="678"/>
      <c r="CV4" s="678"/>
      <c r="CW4" s="678"/>
      <c r="CX4" s="678"/>
      <c r="CY4" s="678"/>
    </row>
    <row r="5" spans="1:103" s="679" customFormat="1" ht="15.75" customHeight="1" thickTop="1" x14ac:dyDescent="0.25">
      <c r="A5" s="1059" t="s">
        <v>311</v>
      </c>
      <c r="B5" s="1061" t="s">
        <v>1164</v>
      </c>
      <c r="C5" s="1061" t="s">
        <v>1165</v>
      </c>
      <c r="D5" s="1063" t="s">
        <v>1166</v>
      </c>
      <c r="E5" s="1063"/>
      <c r="F5" s="1063"/>
      <c r="G5" s="1063"/>
      <c r="H5" s="1063" t="s">
        <v>1167</v>
      </c>
      <c r="I5" s="1063"/>
      <c r="J5" s="1063"/>
      <c r="K5" s="1063"/>
      <c r="L5" s="1063" t="s">
        <v>1168</v>
      </c>
      <c r="M5" s="1063"/>
      <c r="N5" s="1063"/>
      <c r="O5" s="1063"/>
      <c r="P5" s="1063" t="s">
        <v>670</v>
      </c>
      <c r="Q5" s="1063"/>
      <c r="R5" s="1063"/>
      <c r="S5" s="1063"/>
      <c r="T5" s="1063" t="s">
        <v>630</v>
      </c>
      <c r="U5" s="1063"/>
      <c r="V5" s="1063"/>
      <c r="W5" s="1063"/>
      <c r="X5" s="1066" t="s">
        <v>1169</v>
      </c>
      <c r="Y5" s="1066"/>
      <c r="Z5" s="1066"/>
      <c r="AA5" s="1067"/>
      <c r="AB5" s="680"/>
      <c r="AC5" s="680"/>
      <c r="AD5" s="680"/>
      <c r="AE5" s="680"/>
      <c r="AF5" s="680"/>
      <c r="AG5" s="680"/>
      <c r="AH5" s="680"/>
      <c r="AI5" s="680"/>
      <c r="AJ5" s="680"/>
      <c r="AK5" s="680"/>
      <c r="AL5" s="680"/>
      <c r="AM5" s="680"/>
      <c r="AN5" s="680"/>
      <c r="AO5" s="680"/>
      <c r="AP5" s="680"/>
      <c r="AQ5" s="680"/>
      <c r="AR5" s="680"/>
      <c r="AS5" s="680"/>
      <c r="AT5" s="680"/>
      <c r="AU5" s="680"/>
      <c r="AV5" s="680"/>
      <c r="AW5" s="680"/>
      <c r="AX5" s="680"/>
      <c r="AY5" s="680"/>
      <c r="AZ5" s="680"/>
      <c r="BA5" s="680"/>
      <c r="BB5" s="680"/>
      <c r="BC5" s="680"/>
      <c r="BD5" s="680"/>
      <c r="BE5" s="680"/>
      <c r="BF5" s="680"/>
      <c r="BG5" s="680"/>
      <c r="BH5" s="680"/>
      <c r="BI5" s="680"/>
      <c r="BJ5" s="680"/>
      <c r="BK5" s="680"/>
      <c r="BL5" s="680"/>
      <c r="BM5" s="680"/>
      <c r="BN5" s="680"/>
      <c r="BO5" s="680"/>
      <c r="BP5" s="680"/>
      <c r="BQ5" s="680"/>
      <c r="BR5" s="680"/>
      <c r="BS5" s="680"/>
      <c r="BT5" s="680"/>
      <c r="BU5" s="680"/>
      <c r="BV5" s="680"/>
      <c r="BW5" s="680"/>
      <c r="BX5" s="680"/>
      <c r="BY5" s="680"/>
      <c r="BZ5" s="680"/>
      <c r="CA5" s="680"/>
      <c r="CB5" s="680"/>
      <c r="CC5" s="680"/>
      <c r="CD5" s="680"/>
      <c r="CE5" s="680"/>
      <c r="CF5" s="680"/>
      <c r="CG5" s="680"/>
      <c r="CH5" s="680"/>
      <c r="CI5" s="680"/>
      <c r="CJ5" s="680"/>
      <c r="CK5" s="680"/>
      <c r="CL5" s="680"/>
      <c r="CM5" s="680"/>
      <c r="CN5" s="680"/>
      <c r="CO5" s="680"/>
      <c r="CP5" s="680"/>
      <c r="CQ5" s="680"/>
      <c r="CR5" s="680"/>
      <c r="CS5" s="680"/>
      <c r="CT5" s="680"/>
      <c r="CU5" s="680"/>
      <c r="CV5" s="680"/>
      <c r="CW5" s="680"/>
      <c r="CX5" s="680"/>
      <c r="CY5" s="680"/>
    </row>
    <row r="6" spans="1:103" s="679" customFormat="1" x14ac:dyDescent="0.25">
      <c r="A6" s="1060"/>
      <c r="B6" s="1062"/>
      <c r="C6" s="1062"/>
      <c r="D6" s="1056" t="s">
        <v>186</v>
      </c>
      <c r="E6" s="1056" t="s">
        <v>135</v>
      </c>
      <c r="F6" s="1056"/>
      <c r="G6" s="1056"/>
      <c r="H6" s="1056" t="s">
        <v>186</v>
      </c>
      <c r="I6" s="1056" t="s">
        <v>135</v>
      </c>
      <c r="J6" s="1056"/>
      <c r="K6" s="1056"/>
      <c r="L6" s="1056" t="s">
        <v>186</v>
      </c>
      <c r="M6" s="1056" t="s">
        <v>135</v>
      </c>
      <c r="N6" s="1056"/>
      <c r="O6" s="1056"/>
      <c r="P6" s="1056" t="s">
        <v>186</v>
      </c>
      <c r="Q6" s="1056" t="s">
        <v>135</v>
      </c>
      <c r="R6" s="1056"/>
      <c r="S6" s="1056"/>
      <c r="T6" s="1056" t="s">
        <v>186</v>
      </c>
      <c r="U6" s="1056" t="s">
        <v>135</v>
      </c>
      <c r="V6" s="1056"/>
      <c r="W6" s="1056"/>
      <c r="X6" s="1064" t="s">
        <v>186</v>
      </c>
      <c r="Y6" s="1064" t="s">
        <v>135</v>
      </c>
      <c r="Z6" s="1064"/>
      <c r="AA6" s="1065"/>
      <c r="AB6" s="680"/>
      <c r="AC6" s="680"/>
      <c r="AD6" s="680"/>
      <c r="AE6" s="680"/>
      <c r="AF6" s="680"/>
      <c r="AG6" s="680"/>
      <c r="AH6" s="680"/>
      <c r="AI6" s="680"/>
      <c r="AJ6" s="680"/>
      <c r="AK6" s="680"/>
      <c r="AL6" s="680"/>
      <c r="AM6" s="680"/>
      <c r="AN6" s="680"/>
      <c r="AO6" s="680"/>
      <c r="AP6" s="680"/>
      <c r="AQ6" s="680"/>
      <c r="AR6" s="680"/>
      <c r="AS6" s="680"/>
      <c r="AT6" s="680"/>
      <c r="AU6" s="680"/>
      <c r="AV6" s="680"/>
      <c r="AW6" s="680"/>
      <c r="AX6" s="680"/>
      <c r="AY6" s="680"/>
      <c r="AZ6" s="680"/>
      <c r="BA6" s="680"/>
      <c r="BB6" s="680"/>
      <c r="BC6" s="680"/>
      <c r="BD6" s="680"/>
      <c r="BE6" s="680"/>
      <c r="BF6" s="680"/>
      <c r="BG6" s="680"/>
      <c r="BH6" s="680"/>
      <c r="BI6" s="680"/>
      <c r="BJ6" s="680"/>
      <c r="BK6" s="680"/>
      <c r="BL6" s="680"/>
      <c r="BM6" s="680"/>
      <c r="BN6" s="680"/>
      <c r="BO6" s="680"/>
      <c r="BP6" s="680"/>
      <c r="BQ6" s="680"/>
      <c r="BR6" s="680"/>
      <c r="BS6" s="680"/>
      <c r="BT6" s="680"/>
      <c r="BU6" s="680"/>
      <c r="BV6" s="680"/>
      <c r="BW6" s="680"/>
      <c r="BX6" s="680"/>
      <c r="BY6" s="680"/>
      <c r="BZ6" s="680"/>
      <c r="CA6" s="680"/>
      <c r="CB6" s="680"/>
      <c r="CC6" s="680"/>
      <c r="CD6" s="680"/>
      <c r="CE6" s="680"/>
      <c r="CF6" s="680"/>
      <c r="CG6" s="680"/>
      <c r="CH6" s="680"/>
      <c r="CI6" s="680"/>
      <c r="CJ6" s="680"/>
      <c r="CK6" s="680"/>
      <c r="CL6" s="680"/>
      <c r="CM6" s="680"/>
      <c r="CN6" s="680"/>
      <c r="CO6" s="680"/>
      <c r="CP6" s="680"/>
      <c r="CQ6" s="680"/>
      <c r="CR6" s="680"/>
      <c r="CS6" s="680"/>
      <c r="CT6" s="680"/>
      <c r="CU6" s="680"/>
      <c r="CV6" s="680"/>
      <c r="CW6" s="680"/>
      <c r="CX6" s="680"/>
      <c r="CY6" s="680"/>
    </row>
    <row r="7" spans="1:103" s="679" customFormat="1" ht="52.8" x14ac:dyDescent="0.25">
      <c r="A7" s="1060"/>
      <c r="B7" s="1062"/>
      <c r="C7" s="1062"/>
      <c r="D7" s="1056"/>
      <c r="E7" s="681" t="s">
        <v>1170</v>
      </c>
      <c r="F7" s="681" t="s">
        <v>1171</v>
      </c>
      <c r="G7" s="681" t="s">
        <v>1172</v>
      </c>
      <c r="H7" s="1056"/>
      <c r="I7" s="681" t="s">
        <v>1170</v>
      </c>
      <c r="J7" s="681" t="s">
        <v>1171</v>
      </c>
      <c r="K7" s="681" t="s">
        <v>1172</v>
      </c>
      <c r="L7" s="1056"/>
      <c r="M7" s="681" t="s">
        <v>1170</v>
      </c>
      <c r="N7" s="681" t="s">
        <v>1171</v>
      </c>
      <c r="O7" s="681" t="s">
        <v>1172</v>
      </c>
      <c r="P7" s="1056"/>
      <c r="Q7" s="681" t="s">
        <v>1170</v>
      </c>
      <c r="R7" s="681" t="s">
        <v>1171</v>
      </c>
      <c r="S7" s="681" t="s">
        <v>1172</v>
      </c>
      <c r="T7" s="1056"/>
      <c r="U7" s="681" t="s">
        <v>1170</v>
      </c>
      <c r="V7" s="681" t="s">
        <v>1171</v>
      </c>
      <c r="W7" s="681" t="s">
        <v>1172</v>
      </c>
      <c r="X7" s="1064"/>
      <c r="Y7" s="682" t="s">
        <v>1170</v>
      </c>
      <c r="Z7" s="682" t="s">
        <v>1171</v>
      </c>
      <c r="AA7" s="683" t="s">
        <v>1172</v>
      </c>
      <c r="AB7" s="680"/>
      <c r="AC7" s="680"/>
      <c r="AD7" s="680"/>
      <c r="AE7" s="680"/>
      <c r="AF7" s="680"/>
      <c r="AG7" s="680"/>
      <c r="AH7" s="680"/>
      <c r="AI7" s="680"/>
      <c r="AJ7" s="680"/>
      <c r="AK7" s="680"/>
      <c r="AL7" s="680"/>
      <c r="AM7" s="680"/>
      <c r="AN7" s="680"/>
      <c r="AO7" s="680"/>
      <c r="AP7" s="680"/>
      <c r="AQ7" s="680"/>
      <c r="AR7" s="680"/>
      <c r="AS7" s="680"/>
      <c r="AT7" s="680"/>
      <c r="AU7" s="680"/>
      <c r="AV7" s="680"/>
      <c r="AW7" s="680"/>
      <c r="AX7" s="680"/>
      <c r="AY7" s="680"/>
      <c r="AZ7" s="680"/>
      <c r="BA7" s="680"/>
      <c r="BB7" s="680"/>
      <c r="BC7" s="680"/>
      <c r="BD7" s="680"/>
      <c r="BE7" s="680"/>
      <c r="BF7" s="680"/>
      <c r="BG7" s="680"/>
      <c r="BH7" s="680"/>
      <c r="BI7" s="680"/>
      <c r="BJ7" s="680"/>
      <c r="BK7" s="680"/>
      <c r="BL7" s="680"/>
      <c r="BM7" s="680"/>
      <c r="BN7" s="680"/>
      <c r="BO7" s="680"/>
      <c r="BP7" s="680"/>
      <c r="BQ7" s="680"/>
      <c r="BR7" s="680"/>
      <c r="BS7" s="680"/>
      <c r="BT7" s="680"/>
      <c r="BU7" s="680"/>
      <c r="BV7" s="680"/>
      <c r="BW7" s="680"/>
      <c r="BX7" s="680"/>
      <c r="BY7" s="680"/>
      <c r="BZ7" s="680"/>
      <c r="CA7" s="680"/>
      <c r="CB7" s="680"/>
      <c r="CC7" s="680"/>
      <c r="CD7" s="680"/>
      <c r="CE7" s="680"/>
      <c r="CF7" s="680"/>
      <c r="CG7" s="680"/>
      <c r="CH7" s="680"/>
      <c r="CI7" s="680"/>
      <c r="CJ7" s="680"/>
      <c r="CK7" s="680"/>
      <c r="CL7" s="680"/>
      <c r="CM7" s="680"/>
      <c r="CN7" s="680"/>
      <c r="CO7" s="680"/>
      <c r="CP7" s="680"/>
      <c r="CQ7" s="680"/>
      <c r="CR7" s="680"/>
      <c r="CS7" s="680"/>
      <c r="CT7" s="680"/>
      <c r="CU7" s="680"/>
      <c r="CV7" s="680"/>
      <c r="CW7" s="680"/>
      <c r="CX7" s="680"/>
      <c r="CY7" s="680"/>
    </row>
    <row r="8" spans="1:103" s="679" customFormat="1" hidden="1" x14ac:dyDescent="0.25">
      <c r="A8" s="684"/>
      <c r="B8" s="685"/>
      <c r="C8" s="685"/>
      <c r="D8" s="681"/>
      <c r="E8" s="681"/>
      <c r="F8" s="681"/>
      <c r="G8" s="681"/>
      <c r="H8" s="681"/>
      <c r="I8" s="681"/>
      <c r="J8" s="681"/>
      <c r="K8" s="681"/>
      <c r="L8" s="681"/>
      <c r="M8" s="681"/>
      <c r="N8" s="681"/>
      <c r="O8" s="681"/>
      <c r="P8" s="681"/>
      <c r="Q8" s="681">
        <v>100</v>
      </c>
      <c r="R8" s="681">
        <v>200</v>
      </c>
      <c r="S8" s="681" t="s">
        <v>1173</v>
      </c>
      <c r="T8" s="681"/>
      <c r="U8" s="681">
        <v>100</v>
      </c>
      <c r="V8" s="681">
        <v>200</v>
      </c>
      <c r="W8" s="681" t="s">
        <v>1173</v>
      </c>
      <c r="X8" s="686" t="s">
        <v>1174</v>
      </c>
      <c r="Y8" s="686">
        <v>100</v>
      </c>
      <c r="Z8" s="686">
        <v>200</v>
      </c>
      <c r="AA8" s="687" t="s">
        <v>1175</v>
      </c>
      <c r="AB8" s="680"/>
      <c r="AC8" s="680"/>
      <c r="AD8" s="680"/>
      <c r="AE8" s="680"/>
      <c r="AF8" s="680"/>
      <c r="AG8" s="680"/>
      <c r="AH8" s="680"/>
      <c r="AI8" s="680"/>
      <c r="AJ8" s="680"/>
      <c r="AK8" s="680"/>
      <c r="AL8" s="680"/>
      <c r="AM8" s="680"/>
      <c r="AN8" s="680"/>
      <c r="AO8" s="680"/>
      <c r="AP8" s="680"/>
      <c r="AQ8" s="680"/>
      <c r="AR8" s="680"/>
      <c r="AS8" s="680"/>
      <c r="AT8" s="680"/>
      <c r="AU8" s="680"/>
      <c r="AV8" s="680"/>
      <c r="AW8" s="680"/>
      <c r="AX8" s="680"/>
      <c r="AY8" s="680"/>
      <c r="AZ8" s="680"/>
      <c r="BA8" s="680"/>
      <c r="BB8" s="680"/>
      <c r="BC8" s="680"/>
      <c r="BD8" s="680"/>
      <c r="BE8" s="680"/>
      <c r="BF8" s="680"/>
      <c r="BG8" s="680"/>
      <c r="BH8" s="680"/>
      <c r="BI8" s="680"/>
      <c r="BJ8" s="680"/>
      <c r="BK8" s="680"/>
      <c r="BL8" s="680"/>
      <c r="BM8" s="680"/>
      <c r="BN8" s="680"/>
      <c r="BO8" s="680"/>
      <c r="BP8" s="680"/>
      <c r="BQ8" s="680"/>
      <c r="BR8" s="680"/>
      <c r="BS8" s="680"/>
      <c r="BT8" s="680"/>
      <c r="BU8" s="680"/>
      <c r="BV8" s="680"/>
      <c r="BW8" s="680"/>
      <c r="BX8" s="680"/>
      <c r="BY8" s="680"/>
      <c r="BZ8" s="680"/>
      <c r="CA8" s="680"/>
      <c r="CB8" s="680"/>
      <c r="CC8" s="680"/>
      <c r="CD8" s="680"/>
      <c r="CE8" s="680"/>
      <c r="CF8" s="680"/>
      <c r="CG8" s="680"/>
      <c r="CH8" s="680"/>
      <c r="CI8" s="680"/>
      <c r="CJ8" s="680"/>
      <c r="CK8" s="680"/>
      <c r="CL8" s="680"/>
      <c r="CM8" s="680"/>
      <c r="CN8" s="680"/>
      <c r="CO8" s="680"/>
      <c r="CP8" s="680"/>
      <c r="CQ8" s="680"/>
      <c r="CR8" s="680"/>
      <c r="CS8" s="680"/>
      <c r="CT8" s="680"/>
      <c r="CU8" s="680"/>
      <c r="CV8" s="680"/>
      <c r="CW8" s="680"/>
      <c r="CX8" s="680"/>
      <c r="CY8" s="680"/>
    </row>
    <row r="9" spans="1:103" s="674" customFormat="1" x14ac:dyDescent="0.25">
      <c r="A9" s="688" t="s">
        <v>14</v>
      </c>
      <c r="B9" s="689" t="s">
        <v>1176</v>
      </c>
      <c r="C9" s="689" t="s">
        <v>1177</v>
      </c>
      <c r="D9" s="689">
        <v>1</v>
      </c>
      <c r="E9" s="689">
        <v>2</v>
      </c>
      <c r="F9" s="689">
        <v>3</v>
      </c>
      <c r="G9" s="689">
        <v>4</v>
      </c>
      <c r="H9" s="689">
        <v>5</v>
      </c>
      <c r="I9" s="689">
        <v>6</v>
      </c>
      <c r="J9" s="689">
        <v>7</v>
      </c>
      <c r="K9" s="689">
        <v>8</v>
      </c>
      <c r="L9" s="689">
        <v>9</v>
      </c>
      <c r="M9" s="689">
        <v>10</v>
      </c>
      <c r="N9" s="689">
        <v>11</v>
      </c>
      <c r="O9" s="689">
        <v>12</v>
      </c>
      <c r="P9" s="689">
        <v>1</v>
      </c>
      <c r="Q9" s="689">
        <v>2</v>
      </c>
      <c r="R9" s="689">
        <v>3</v>
      </c>
      <c r="S9" s="689">
        <v>4</v>
      </c>
      <c r="T9" s="689">
        <v>5</v>
      </c>
      <c r="U9" s="689">
        <v>6</v>
      </c>
      <c r="V9" s="689">
        <v>7</v>
      </c>
      <c r="W9" s="689">
        <v>8</v>
      </c>
      <c r="X9" s="690">
        <v>9</v>
      </c>
      <c r="Y9" s="690">
        <v>10</v>
      </c>
      <c r="Z9" s="690">
        <v>11</v>
      </c>
      <c r="AA9" s="691">
        <v>12</v>
      </c>
      <c r="AB9" s="678"/>
      <c r="AC9" s="678"/>
      <c r="AD9" s="678"/>
      <c r="AE9" s="678"/>
      <c r="AF9" s="678"/>
      <c r="AG9" s="678"/>
      <c r="AH9" s="678"/>
      <c r="AI9" s="678"/>
      <c r="AJ9" s="678"/>
      <c r="AK9" s="678"/>
      <c r="AL9" s="678"/>
      <c r="AM9" s="678"/>
      <c r="AN9" s="678"/>
      <c r="AO9" s="678"/>
      <c r="AP9" s="678"/>
      <c r="AQ9" s="678"/>
      <c r="AR9" s="678"/>
      <c r="AS9" s="678"/>
      <c r="AT9" s="678"/>
      <c r="AU9" s="678"/>
      <c r="AV9" s="678"/>
      <c r="AW9" s="678"/>
      <c r="AX9" s="678"/>
      <c r="AY9" s="678"/>
      <c r="AZ9" s="678"/>
      <c r="BA9" s="678"/>
      <c r="BB9" s="678"/>
      <c r="BC9" s="678"/>
      <c r="BD9" s="678"/>
      <c r="BE9" s="678"/>
      <c r="BF9" s="678"/>
      <c r="BG9" s="678"/>
      <c r="BH9" s="678"/>
      <c r="BI9" s="678"/>
      <c r="BJ9" s="678"/>
      <c r="BK9" s="678"/>
      <c r="BL9" s="678"/>
      <c r="BM9" s="678"/>
      <c r="BN9" s="678"/>
      <c r="BO9" s="678"/>
      <c r="BP9" s="678"/>
      <c r="BQ9" s="678"/>
      <c r="BR9" s="678"/>
      <c r="BS9" s="678"/>
      <c r="BT9" s="678"/>
      <c r="BU9" s="678"/>
      <c r="BV9" s="678"/>
      <c r="BW9" s="678"/>
      <c r="BX9" s="678"/>
      <c r="BY9" s="678"/>
      <c r="BZ9" s="678"/>
      <c r="CA9" s="678"/>
      <c r="CB9" s="678"/>
      <c r="CC9" s="678"/>
      <c r="CD9" s="678"/>
      <c r="CE9" s="678"/>
      <c r="CF9" s="678"/>
      <c r="CG9" s="678"/>
      <c r="CH9" s="678"/>
      <c r="CI9" s="678"/>
      <c r="CJ9" s="678"/>
      <c r="CK9" s="678"/>
      <c r="CL9" s="678"/>
      <c r="CM9" s="678"/>
      <c r="CN9" s="678"/>
      <c r="CO9" s="678"/>
      <c r="CP9" s="678"/>
      <c r="CQ9" s="678"/>
      <c r="CR9" s="678"/>
      <c r="CS9" s="678"/>
      <c r="CT9" s="678"/>
      <c r="CU9" s="678"/>
      <c r="CV9" s="678"/>
      <c r="CW9" s="678"/>
      <c r="CX9" s="678"/>
      <c r="CY9" s="678"/>
    </row>
    <row r="10" spans="1:103" s="700" customFormat="1" x14ac:dyDescent="0.25">
      <c r="A10" s="692" t="s">
        <v>1178</v>
      </c>
      <c r="B10" s="693">
        <v>1</v>
      </c>
      <c r="C10" s="693"/>
      <c r="D10" s="694">
        <f>E10+F10+G10</f>
        <v>1007.8</v>
      </c>
      <c r="E10" s="694">
        <f>E11+E12+E13+E14+E15+E16+E17</f>
        <v>872.8</v>
      </c>
      <c r="F10" s="694">
        <f>F11+F12+F13+F14+F15+F16+F17</f>
        <v>132.30000000000001</v>
      </c>
      <c r="G10" s="694">
        <f t="shared" ref="G10" si="0">G11+G12+G13+G14+G15+G16+G17</f>
        <v>2.6999999999999997</v>
      </c>
      <c r="H10" s="695">
        <f>I10+J10+K10</f>
        <v>965.85444563999988</v>
      </c>
      <c r="I10" s="695">
        <f>I11+I12+I13+I14+I15+I16+I17</f>
        <v>871.12450597999987</v>
      </c>
      <c r="J10" s="695">
        <f>J11+J12+J13+J14+J15+J16+J17</f>
        <v>93.497908310000014</v>
      </c>
      <c r="K10" s="695">
        <f>K11+K12+K13+K14+K15+K16+K17</f>
        <v>1.23203135</v>
      </c>
      <c r="L10" s="695">
        <f>L11+L12+L13+L14+L15+L16+L17</f>
        <v>1060.2382</v>
      </c>
      <c r="M10" s="695">
        <f>M11+M12+M13+M14+M15+M16+M17</f>
        <v>951.15470000000005</v>
      </c>
      <c r="N10" s="695">
        <f t="shared" ref="N10:O10" si="1">N11+N12+N13+N14+N15+N16+N17</f>
        <v>107.51350000000001</v>
      </c>
      <c r="O10" s="695">
        <f t="shared" si="1"/>
        <v>1.57</v>
      </c>
      <c r="P10" s="695">
        <f>P11+P12+P13+P14+P15+P16+P17</f>
        <v>1093.6895467300001</v>
      </c>
      <c r="Q10" s="695">
        <f>Q11+Q12+Q13+Q14+Q15+Q16+Q17</f>
        <v>977.5145148900001</v>
      </c>
      <c r="R10" s="695">
        <f t="shared" ref="R10:S10" si="2">R11+R12+R13+R14+R15+R16+R17</f>
        <v>114.41284186</v>
      </c>
      <c r="S10" s="695">
        <f t="shared" si="2"/>
        <v>1.76218998</v>
      </c>
      <c r="T10" s="695">
        <f>T11+T12+T13+T14+T15+T16+T17</f>
        <v>1174.9000000000001</v>
      </c>
      <c r="U10" s="695">
        <f>U11+U12+U13+U14+U15+U16+U17</f>
        <v>1063.4000000000001</v>
      </c>
      <c r="V10" s="695">
        <f t="shared" ref="V10:W10" si="3">V11+V12+V13+V14+V15+V16+V17</f>
        <v>109.80000000000001</v>
      </c>
      <c r="W10" s="695">
        <f t="shared" si="3"/>
        <v>1.7000000000000002</v>
      </c>
      <c r="X10" s="696">
        <f t="shared" ref="X10:AA40" si="4">T10-P10</f>
        <v>81.210453270000016</v>
      </c>
      <c r="Y10" s="696">
        <f t="shared" si="4"/>
        <v>85.885485109999991</v>
      </c>
      <c r="Z10" s="696">
        <f t="shared" si="4"/>
        <v>-4.612841859999989</v>
      </c>
      <c r="AA10" s="697">
        <f t="shared" si="4"/>
        <v>-6.2189979999999867E-2</v>
      </c>
      <c r="AB10" s="698"/>
      <c r="AC10" s="699"/>
      <c r="AD10" s="699"/>
      <c r="AE10" s="699"/>
      <c r="AF10" s="699"/>
      <c r="AG10" s="699"/>
      <c r="AH10" s="699"/>
      <c r="AI10" s="699"/>
      <c r="AJ10" s="699"/>
      <c r="AK10" s="699"/>
      <c r="AL10" s="699"/>
      <c r="AM10" s="699"/>
      <c r="AN10" s="699"/>
      <c r="AO10" s="699"/>
      <c r="AP10" s="699"/>
      <c r="AQ10" s="699"/>
      <c r="AR10" s="699"/>
      <c r="AS10" s="699"/>
      <c r="AT10" s="699"/>
      <c r="AU10" s="699"/>
      <c r="AV10" s="699"/>
      <c r="AW10" s="699"/>
      <c r="AX10" s="699"/>
      <c r="AY10" s="699"/>
      <c r="AZ10" s="699"/>
      <c r="BA10" s="699"/>
      <c r="BB10" s="699"/>
      <c r="BC10" s="699"/>
      <c r="BD10" s="699"/>
      <c r="BE10" s="699"/>
      <c r="BF10" s="699"/>
      <c r="BG10" s="699"/>
      <c r="BH10" s="699"/>
      <c r="BI10" s="699"/>
      <c r="BJ10" s="699"/>
      <c r="BK10" s="699"/>
      <c r="BL10" s="699"/>
      <c r="BM10" s="699"/>
      <c r="BN10" s="699"/>
      <c r="BO10" s="699"/>
      <c r="BP10" s="699"/>
      <c r="BQ10" s="699"/>
      <c r="BR10" s="699"/>
      <c r="BS10" s="699"/>
      <c r="BT10" s="699"/>
      <c r="BU10" s="699"/>
      <c r="BV10" s="699"/>
      <c r="BW10" s="699"/>
      <c r="BX10" s="699"/>
      <c r="BY10" s="699"/>
      <c r="BZ10" s="699"/>
      <c r="CA10" s="699"/>
      <c r="CB10" s="699"/>
      <c r="CC10" s="699"/>
      <c r="CD10" s="699"/>
      <c r="CE10" s="699"/>
      <c r="CF10" s="699"/>
      <c r="CG10" s="699"/>
      <c r="CH10" s="699"/>
      <c r="CI10" s="699"/>
      <c r="CJ10" s="699"/>
      <c r="CK10" s="699"/>
      <c r="CL10" s="699"/>
      <c r="CM10" s="699"/>
      <c r="CN10" s="699"/>
      <c r="CO10" s="699"/>
      <c r="CP10" s="699"/>
      <c r="CQ10" s="699"/>
      <c r="CR10" s="699"/>
      <c r="CS10" s="699"/>
      <c r="CT10" s="699"/>
      <c r="CU10" s="699"/>
      <c r="CV10" s="699"/>
      <c r="CW10" s="699"/>
      <c r="CX10" s="699"/>
      <c r="CY10" s="699"/>
    </row>
    <row r="11" spans="1:103" ht="39.6" x14ac:dyDescent="0.25">
      <c r="A11" s="701" t="s">
        <v>1179</v>
      </c>
      <c r="B11" s="702">
        <v>1</v>
      </c>
      <c r="C11" s="702">
        <v>2</v>
      </c>
      <c r="D11" s="703">
        <f t="shared" ref="D11:D17" si="5">E11+F11+G11</f>
        <v>4.3</v>
      </c>
      <c r="E11" s="703">
        <v>4.3</v>
      </c>
      <c r="F11" s="703">
        <v>0</v>
      </c>
      <c r="G11" s="703">
        <v>0</v>
      </c>
      <c r="H11" s="704">
        <f>I11+J11+K11</f>
        <v>5.4935424399999997</v>
      </c>
      <c r="I11" s="704">
        <v>5.4935424399999997</v>
      </c>
      <c r="J11" s="704">
        <v>0</v>
      </c>
      <c r="K11" s="704">
        <v>0</v>
      </c>
      <c r="L11" s="704">
        <f t="shared" ref="L11:L17" si="6">M11+N11+O11</f>
        <v>6.4</v>
      </c>
      <c r="M11" s="704">
        <v>6.4</v>
      </c>
      <c r="N11" s="704"/>
      <c r="O11" s="704"/>
      <c r="P11" s="704">
        <f t="shared" ref="P11:P17" si="7">Q11+R11+S11</f>
        <v>6.4633288799999997</v>
      </c>
      <c r="Q11" s="704">
        <f>6463328.88/1000000</f>
        <v>6.4633288799999997</v>
      </c>
      <c r="R11" s="704">
        <v>0</v>
      </c>
      <c r="S11" s="704">
        <v>0</v>
      </c>
      <c r="T11" s="704">
        <f>U11+V11+W11</f>
        <v>6.7</v>
      </c>
      <c r="U11" s="704">
        <v>6.7</v>
      </c>
      <c r="V11" s="704">
        <v>0</v>
      </c>
      <c r="W11" s="704">
        <v>0</v>
      </c>
      <c r="X11" s="705">
        <f t="shared" si="4"/>
        <v>0.23667112000000046</v>
      </c>
      <c r="Y11" s="705">
        <f t="shared" si="4"/>
        <v>0.23667112000000046</v>
      </c>
      <c r="Z11" s="705">
        <f t="shared" si="4"/>
        <v>0</v>
      </c>
      <c r="AA11" s="706">
        <f t="shared" si="4"/>
        <v>0</v>
      </c>
      <c r="AB11" s="707"/>
    </row>
    <row r="12" spans="1:103" ht="52.8" x14ac:dyDescent="0.25">
      <c r="A12" s="701" t="s">
        <v>1180</v>
      </c>
      <c r="B12" s="702">
        <v>1</v>
      </c>
      <c r="C12" s="702">
        <v>3</v>
      </c>
      <c r="D12" s="703">
        <f t="shared" si="5"/>
        <v>181.1</v>
      </c>
      <c r="E12" s="703">
        <v>146.69999999999999</v>
      </c>
      <c r="F12" s="703">
        <v>34.1</v>
      </c>
      <c r="G12" s="703">
        <v>0.3</v>
      </c>
      <c r="H12" s="704">
        <f t="shared" ref="H12:H20" si="8">I12+J12+K12</f>
        <v>161.40335166000003</v>
      </c>
      <c r="I12" s="704">
        <v>147.31206351</v>
      </c>
      <c r="J12" s="704">
        <v>14.01086735</v>
      </c>
      <c r="K12" s="704">
        <v>8.0420800000000001E-2</v>
      </c>
      <c r="L12" s="704">
        <f t="shared" si="6"/>
        <v>179.02689999999998</v>
      </c>
      <c r="M12" s="704">
        <v>156.86799999999999</v>
      </c>
      <c r="N12" s="704">
        <v>21.945</v>
      </c>
      <c r="O12" s="708">
        <v>0.21390000000000001</v>
      </c>
      <c r="P12" s="704">
        <f t="shared" si="7"/>
        <v>159.06783282000004</v>
      </c>
      <c r="Q12" s="704">
        <f>146.94222515</f>
        <v>146.94222515000001</v>
      </c>
      <c r="R12" s="704">
        <f>12004808.88/1000000</f>
        <v>12.004808880000001</v>
      </c>
      <c r="S12" s="708">
        <f>120798.79/1000000</f>
        <v>0.12079878999999999</v>
      </c>
      <c r="T12" s="704">
        <f t="shared" ref="T12:T17" si="9">U12+V12+W12</f>
        <v>171.1</v>
      </c>
      <c r="U12" s="704">
        <v>155.4</v>
      </c>
      <c r="V12" s="704">
        <v>15.6</v>
      </c>
      <c r="W12" s="708">
        <v>0.1</v>
      </c>
      <c r="X12" s="705">
        <f t="shared" si="4"/>
        <v>12.032167179999959</v>
      </c>
      <c r="Y12" s="705">
        <f t="shared" si="4"/>
        <v>8.4577748499999927</v>
      </c>
      <c r="Z12" s="705">
        <f t="shared" si="4"/>
        <v>3.5951911199999991</v>
      </c>
      <c r="AA12" s="706">
        <f t="shared" si="4"/>
        <v>-2.0798789999999984E-2</v>
      </c>
      <c r="AB12" s="707"/>
    </row>
    <row r="13" spans="1:103" ht="66" x14ac:dyDescent="0.25">
      <c r="A13" s="701" t="s">
        <v>1181</v>
      </c>
      <c r="B13" s="702">
        <v>1</v>
      </c>
      <c r="C13" s="702">
        <v>4</v>
      </c>
      <c r="D13" s="703">
        <f t="shared" si="5"/>
        <v>236.99999999999997</v>
      </c>
      <c r="E13" s="703">
        <v>197.2</v>
      </c>
      <c r="F13" s="703">
        <v>39.6</v>
      </c>
      <c r="G13" s="703">
        <v>0.2</v>
      </c>
      <c r="H13" s="704">
        <f t="shared" si="8"/>
        <v>264.72791747999997</v>
      </c>
      <c r="I13" s="704">
        <v>228.94441199999997</v>
      </c>
      <c r="J13" s="704">
        <v>35.506483180000004</v>
      </c>
      <c r="K13" s="704">
        <v>0.27702230000000005</v>
      </c>
      <c r="L13" s="704">
        <f t="shared" si="6"/>
        <v>298.09190000000001</v>
      </c>
      <c r="M13" s="704">
        <v>256.85809999999998</v>
      </c>
      <c r="N13" s="704">
        <v>40.482900000000001</v>
      </c>
      <c r="O13" s="704">
        <v>0.75090000000000001</v>
      </c>
      <c r="P13" s="704">
        <f t="shared" si="7"/>
        <v>335.49990953000002</v>
      </c>
      <c r="Q13" s="704">
        <v>275.93455949000003</v>
      </c>
      <c r="R13" s="704">
        <v>59.186100000000003</v>
      </c>
      <c r="S13" s="704">
        <f>0.37925004</f>
        <v>0.37925004000000001</v>
      </c>
      <c r="T13" s="704">
        <f t="shared" si="9"/>
        <v>350.9</v>
      </c>
      <c r="U13" s="704">
        <v>305.7</v>
      </c>
      <c r="V13" s="704">
        <v>45</v>
      </c>
      <c r="W13" s="704">
        <v>0.2</v>
      </c>
      <c r="X13" s="705">
        <f t="shared" si="4"/>
        <v>15.400090469999952</v>
      </c>
      <c r="Y13" s="705">
        <f t="shared" si="4"/>
        <v>29.765440509999962</v>
      </c>
      <c r="Z13" s="705">
        <f t="shared" si="4"/>
        <v>-14.186100000000003</v>
      </c>
      <c r="AA13" s="706">
        <f t="shared" si="4"/>
        <v>-0.17925004</v>
      </c>
      <c r="AB13" s="707"/>
    </row>
    <row r="14" spans="1:103" x14ac:dyDescent="0.25">
      <c r="A14" s="701" t="s">
        <v>1182</v>
      </c>
      <c r="B14" s="702">
        <v>1</v>
      </c>
      <c r="C14" s="702">
        <v>5</v>
      </c>
      <c r="D14" s="703">
        <f t="shared" si="5"/>
        <v>164.79999999999998</v>
      </c>
      <c r="E14" s="703">
        <v>146.69999999999999</v>
      </c>
      <c r="F14" s="703">
        <v>16.7</v>
      </c>
      <c r="G14" s="703">
        <v>1.4</v>
      </c>
      <c r="H14" s="704">
        <f t="shared" si="8"/>
        <v>168.20546417999998</v>
      </c>
      <c r="I14" s="704">
        <v>158.5746762</v>
      </c>
      <c r="J14" s="704">
        <v>9.6165999800000002</v>
      </c>
      <c r="K14" s="704">
        <v>1.4188000000000001E-2</v>
      </c>
      <c r="L14" s="704">
        <f t="shared" si="6"/>
        <v>173.60840000000002</v>
      </c>
      <c r="M14" s="704">
        <v>166.26060000000001</v>
      </c>
      <c r="N14" s="704">
        <v>7.1642000000000001</v>
      </c>
      <c r="O14" s="704">
        <v>0.18360000000000001</v>
      </c>
      <c r="P14" s="704">
        <f t="shared" si="7"/>
        <v>182.45633586000002</v>
      </c>
      <c r="Q14" s="704">
        <v>175.22477986000001</v>
      </c>
      <c r="R14" s="704">
        <v>6.7439999999999998</v>
      </c>
      <c r="S14" s="704">
        <v>0.48755599999999999</v>
      </c>
      <c r="T14" s="704">
        <f t="shared" si="9"/>
        <v>216.5</v>
      </c>
      <c r="U14" s="704">
        <v>207.1</v>
      </c>
      <c r="V14" s="704">
        <v>8.5</v>
      </c>
      <c r="W14" s="704">
        <v>0.9</v>
      </c>
      <c r="X14" s="705">
        <f t="shared" si="4"/>
        <v>34.043664139999976</v>
      </c>
      <c r="Y14" s="705">
        <f t="shared" si="4"/>
        <v>31.875220139999982</v>
      </c>
      <c r="Z14" s="705">
        <f t="shared" si="4"/>
        <v>1.7560000000000002</v>
      </c>
      <c r="AA14" s="706">
        <f t="shared" si="4"/>
        <v>0.41244400000000003</v>
      </c>
      <c r="AB14" s="707"/>
    </row>
    <row r="15" spans="1:103" ht="52.8" x14ac:dyDescent="0.25">
      <c r="A15" s="701" t="s">
        <v>1183</v>
      </c>
      <c r="B15" s="702">
        <v>1</v>
      </c>
      <c r="C15" s="702">
        <v>6</v>
      </c>
      <c r="D15" s="703">
        <f t="shared" si="5"/>
        <v>136</v>
      </c>
      <c r="E15" s="703">
        <v>129.69999999999999</v>
      </c>
      <c r="F15" s="703">
        <v>5.9</v>
      </c>
      <c r="G15" s="703">
        <v>0.4</v>
      </c>
      <c r="H15" s="704">
        <f t="shared" si="8"/>
        <v>123.82321812000002</v>
      </c>
      <c r="I15" s="704">
        <v>117.96098250000001</v>
      </c>
      <c r="J15" s="704">
        <v>5.4505984200000004</v>
      </c>
      <c r="K15" s="704">
        <v>0.41163719999999998</v>
      </c>
      <c r="L15" s="704">
        <f t="shared" si="6"/>
        <v>137.02930000000001</v>
      </c>
      <c r="M15" s="704">
        <v>130.5608</v>
      </c>
      <c r="N15" s="704">
        <v>6.3704999999999998</v>
      </c>
      <c r="O15" s="704">
        <v>9.8000000000000004E-2</v>
      </c>
      <c r="P15" s="704">
        <f t="shared" si="7"/>
        <v>142.92336222</v>
      </c>
      <c r="Q15" s="704">
        <v>134.0083832</v>
      </c>
      <c r="R15" s="704">
        <v>8.8343470199999992</v>
      </c>
      <c r="S15" s="704">
        <v>8.0631999999999995E-2</v>
      </c>
      <c r="T15" s="704">
        <f t="shared" si="9"/>
        <v>158.6</v>
      </c>
      <c r="U15" s="704">
        <v>146.80000000000001</v>
      </c>
      <c r="V15" s="704">
        <v>11.7</v>
      </c>
      <c r="W15" s="704">
        <v>0.1</v>
      </c>
      <c r="X15" s="705">
        <f t="shared" si="4"/>
        <v>15.676637779999993</v>
      </c>
      <c r="Y15" s="705">
        <f t="shared" si="4"/>
        <v>12.791616800000014</v>
      </c>
      <c r="Z15" s="705">
        <f t="shared" si="4"/>
        <v>2.8656529800000001</v>
      </c>
      <c r="AA15" s="706">
        <f t="shared" si="4"/>
        <v>1.936800000000001E-2</v>
      </c>
      <c r="AB15" s="707"/>
    </row>
    <row r="16" spans="1:103" ht="26.4" x14ac:dyDescent="0.25">
      <c r="A16" s="701" t="s">
        <v>1184</v>
      </c>
      <c r="B16" s="702">
        <v>1</v>
      </c>
      <c r="C16" s="702">
        <v>7</v>
      </c>
      <c r="D16" s="703">
        <f t="shared" si="5"/>
        <v>38.6</v>
      </c>
      <c r="E16" s="703">
        <v>38</v>
      </c>
      <c r="F16" s="703">
        <v>0.6</v>
      </c>
      <c r="G16" s="703">
        <v>0</v>
      </c>
      <c r="H16" s="704">
        <f t="shared" si="8"/>
        <v>37.735839199999994</v>
      </c>
      <c r="I16" s="704">
        <v>37.412538199999993</v>
      </c>
      <c r="J16" s="704">
        <v>0.30610000000000004</v>
      </c>
      <c r="K16" s="704">
        <v>1.7201000000000001E-2</v>
      </c>
      <c r="L16" s="704">
        <f t="shared" si="6"/>
        <v>41.378200000000007</v>
      </c>
      <c r="M16" s="704">
        <v>40.848300000000002</v>
      </c>
      <c r="N16" s="704">
        <v>0.51290000000000002</v>
      </c>
      <c r="O16" s="704">
        <v>1.7000000000000001E-2</v>
      </c>
      <c r="P16" s="704">
        <f t="shared" si="7"/>
        <v>43.783236600000002</v>
      </c>
      <c r="Q16" s="704">
        <v>43.249024230000003</v>
      </c>
      <c r="R16" s="704">
        <v>0.51726236999999997</v>
      </c>
      <c r="S16" s="704">
        <v>1.695E-2</v>
      </c>
      <c r="T16" s="704">
        <f t="shared" si="9"/>
        <v>44.199999999999996</v>
      </c>
      <c r="U16" s="704">
        <v>43.8</v>
      </c>
      <c r="V16" s="704">
        <v>0.4</v>
      </c>
      <c r="W16" s="704">
        <v>0</v>
      </c>
      <c r="X16" s="705">
        <f t="shared" si="4"/>
        <v>0.41676339999999357</v>
      </c>
      <c r="Y16" s="705">
        <f t="shared" si="4"/>
        <v>0.55097576999999376</v>
      </c>
      <c r="Z16" s="705">
        <f t="shared" si="4"/>
        <v>-0.11726236999999995</v>
      </c>
      <c r="AA16" s="706">
        <f t="shared" si="4"/>
        <v>-1.695E-2</v>
      </c>
      <c r="AB16" s="707"/>
    </row>
    <row r="17" spans="1:103" x14ac:dyDescent="0.25">
      <c r="A17" s="701" t="s">
        <v>1185</v>
      </c>
      <c r="B17" s="702">
        <v>1</v>
      </c>
      <c r="C17" s="702">
        <v>13</v>
      </c>
      <c r="D17" s="703">
        <f t="shared" si="5"/>
        <v>246</v>
      </c>
      <c r="E17" s="703">
        <v>210.2</v>
      </c>
      <c r="F17" s="703">
        <v>35.4</v>
      </c>
      <c r="G17" s="703">
        <v>0.4</v>
      </c>
      <c r="H17" s="704">
        <f t="shared" si="8"/>
        <v>204.46511255999999</v>
      </c>
      <c r="I17" s="704">
        <v>175.42629113000001</v>
      </c>
      <c r="J17" s="704">
        <v>28.607259379999999</v>
      </c>
      <c r="K17" s="704">
        <v>0.43156204999999997</v>
      </c>
      <c r="L17" s="704">
        <f t="shared" si="6"/>
        <v>224.70350000000002</v>
      </c>
      <c r="M17" s="704">
        <v>193.35890000000001</v>
      </c>
      <c r="N17" s="704">
        <v>31.038</v>
      </c>
      <c r="O17" s="704">
        <v>0.30659999999999998</v>
      </c>
      <c r="P17" s="704">
        <f t="shared" si="7"/>
        <v>223.49554082</v>
      </c>
      <c r="Q17" s="704">
        <v>195.69221408000001</v>
      </c>
      <c r="R17" s="704">
        <v>27.126323589999998</v>
      </c>
      <c r="S17" s="704">
        <v>0.67700315</v>
      </c>
      <c r="T17" s="704">
        <f t="shared" si="9"/>
        <v>226.9</v>
      </c>
      <c r="U17" s="704">
        <v>197.9</v>
      </c>
      <c r="V17" s="704">
        <v>28.6</v>
      </c>
      <c r="W17" s="704">
        <v>0.4</v>
      </c>
      <c r="X17" s="705">
        <f t="shared" si="4"/>
        <v>3.4044591800000035</v>
      </c>
      <c r="Y17" s="705">
        <f t="shared" si="4"/>
        <v>2.2077859199999921</v>
      </c>
      <c r="Z17" s="705">
        <f t="shared" si="4"/>
        <v>1.473676410000003</v>
      </c>
      <c r="AA17" s="706">
        <f t="shared" si="4"/>
        <v>-0.27700314999999998</v>
      </c>
      <c r="AB17" s="707"/>
    </row>
    <row r="18" spans="1:103" s="700" customFormat="1" ht="26.4" x14ac:dyDescent="0.25">
      <c r="A18" s="692" t="s">
        <v>1186</v>
      </c>
      <c r="B18" s="693">
        <v>3</v>
      </c>
      <c r="C18" s="693"/>
      <c r="D18" s="694">
        <f>E18+F18+G18</f>
        <v>15.2</v>
      </c>
      <c r="E18" s="694">
        <f>E19</f>
        <v>13</v>
      </c>
      <c r="F18" s="694">
        <f t="shared" ref="F18:G18" si="10">F19</f>
        <v>2</v>
      </c>
      <c r="G18" s="694">
        <f t="shared" si="10"/>
        <v>0.2</v>
      </c>
      <c r="H18" s="695">
        <f t="shared" si="8"/>
        <v>15.978367609999999</v>
      </c>
      <c r="I18" s="695">
        <f>I19</f>
        <v>14.7156</v>
      </c>
      <c r="J18" s="695">
        <f>J19</f>
        <v>1.22916761</v>
      </c>
      <c r="K18" s="695">
        <f>K19</f>
        <v>3.3600000000000005E-2</v>
      </c>
      <c r="L18" s="695">
        <f t="shared" ref="L18:W18" si="11">L19</f>
        <v>16.906399999999998</v>
      </c>
      <c r="M18" s="695">
        <f t="shared" si="11"/>
        <v>15.8653</v>
      </c>
      <c r="N18" s="695">
        <f t="shared" si="11"/>
        <v>0.94750000000000001</v>
      </c>
      <c r="O18" s="695">
        <f t="shared" si="11"/>
        <v>9.3600000000000003E-2</v>
      </c>
      <c r="P18" s="695">
        <f t="shared" si="11"/>
        <v>17.32178472</v>
      </c>
      <c r="Q18" s="695">
        <f t="shared" si="11"/>
        <v>16.341100000000001</v>
      </c>
      <c r="R18" s="695">
        <f t="shared" si="11"/>
        <v>0.92576849000000005</v>
      </c>
      <c r="S18" s="695">
        <f t="shared" si="11"/>
        <v>5.4916230000000003E-2</v>
      </c>
      <c r="T18" s="695">
        <f t="shared" si="11"/>
        <v>20.100000000000001</v>
      </c>
      <c r="U18" s="695">
        <f t="shared" si="11"/>
        <v>19.100000000000001</v>
      </c>
      <c r="V18" s="695">
        <f t="shared" si="11"/>
        <v>0.9</v>
      </c>
      <c r="W18" s="695">
        <f t="shared" si="11"/>
        <v>0.1</v>
      </c>
      <c r="X18" s="696">
        <f t="shared" si="4"/>
        <v>2.7782152800000013</v>
      </c>
      <c r="Y18" s="696">
        <f t="shared" si="4"/>
        <v>2.7589000000000006</v>
      </c>
      <c r="Z18" s="696">
        <f t="shared" si="4"/>
        <v>-2.5768490000000033E-2</v>
      </c>
      <c r="AA18" s="697">
        <f t="shared" si="4"/>
        <v>4.5083770000000002E-2</v>
      </c>
      <c r="AB18" s="698"/>
      <c r="AC18" s="699"/>
      <c r="AD18" s="699"/>
      <c r="AE18" s="699"/>
      <c r="AF18" s="699"/>
      <c r="AG18" s="699"/>
      <c r="AH18" s="699"/>
      <c r="AI18" s="699"/>
      <c r="AJ18" s="699"/>
      <c r="AK18" s="699"/>
      <c r="AL18" s="699"/>
      <c r="AM18" s="699"/>
      <c r="AN18" s="699"/>
      <c r="AO18" s="699"/>
      <c r="AP18" s="699"/>
      <c r="AQ18" s="699"/>
      <c r="AR18" s="699"/>
      <c r="AS18" s="699"/>
      <c r="AT18" s="699"/>
      <c r="AU18" s="699"/>
      <c r="AV18" s="699"/>
      <c r="AW18" s="699"/>
      <c r="AX18" s="699"/>
      <c r="AY18" s="699"/>
      <c r="AZ18" s="699"/>
      <c r="BA18" s="699"/>
      <c r="BB18" s="699"/>
      <c r="BC18" s="699"/>
      <c r="BD18" s="699"/>
      <c r="BE18" s="699"/>
      <c r="BF18" s="699"/>
      <c r="BG18" s="699"/>
      <c r="BH18" s="699"/>
      <c r="BI18" s="699"/>
      <c r="BJ18" s="699"/>
      <c r="BK18" s="699"/>
      <c r="BL18" s="699"/>
      <c r="BM18" s="699"/>
      <c r="BN18" s="699"/>
      <c r="BO18" s="699"/>
      <c r="BP18" s="699"/>
      <c r="BQ18" s="699"/>
      <c r="BR18" s="699"/>
      <c r="BS18" s="699"/>
      <c r="BT18" s="699"/>
      <c r="BU18" s="699"/>
      <c r="BV18" s="699"/>
      <c r="BW18" s="699"/>
      <c r="BX18" s="699"/>
      <c r="BY18" s="699"/>
      <c r="BZ18" s="699"/>
      <c r="CA18" s="699"/>
      <c r="CB18" s="699"/>
      <c r="CC18" s="699"/>
      <c r="CD18" s="699"/>
      <c r="CE18" s="699"/>
      <c r="CF18" s="699"/>
      <c r="CG18" s="699"/>
      <c r="CH18" s="699"/>
      <c r="CI18" s="699"/>
      <c r="CJ18" s="699"/>
      <c r="CK18" s="699"/>
      <c r="CL18" s="699"/>
      <c r="CM18" s="699"/>
      <c r="CN18" s="699"/>
      <c r="CO18" s="699"/>
      <c r="CP18" s="699"/>
      <c r="CQ18" s="699"/>
      <c r="CR18" s="699"/>
      <c r="CS18" s="699"/>
      <c r="CT18" s="699"/>
      <c r="CU18" s="699"/>
      <c r="CV18" s="699"/>
      <c r="CW18" s="699"/>
      <c r="CX18" s="699"/>
      <c r="CY18" s="699"/>
    </row>
    <row r="19" spans="1:103" ht="39.6" x14ac:dyDescent="0.25">
      <c r="A19" s="701" t="s">
        <v>1187</v>
      </c>
      <c r="B19" s="702">
        <v>3</v>
      </c>
      <c r="C19" s="702">
        <v>9</v>
      </c>
      <c r="D19" s="703">
        <f>E19+F19+G19</f>
        <v>15.2</v>
      </c>
      <c r="E19" s="703">
        <v>13</v>
      </c>
      <c r="F19" s="703">
        <v>2</v>
      </c>
      <c r="G19" s="703">
        <v>0.2</v>
      </c>
      <c r="H19" s="704">
        <f t="shared" si="8"/>
        <v>15.978367609999999</v>
      </c>
      <c r="I19" s="704">
        <v>14.7156</v>
      </c>
      <c r="J19" s="704">
        <v>1.22916761</v>
      </c>
      <c r="K19" s="704">
        <v>3.3600000000000005E-2</v>
      </c>
      <c r="L19" s="704">
        <f>M19+N19+O19</f>
        <v>16.906399999999998</v>
      </c>
      <c r="M19" s="704">
        <v>15.8653</v>
      </c>
      <c r="N19" s="704">
        <v>0.94750000000000001</v>
      </c>
      <c r="O19" s="704">
        <v>9.3600000000000003E-2</v>
      </c>
      <c r="P19" s="704">
        <f>Q19+R19+S19</f>
        <v>17.32178472</v>
      </c>
      <c r="Q19" s="704">
        <v>16.341100000000001</v>
      </c>
      <c r="R19" s="704">
        <v>0.92576849000000005</v>
      </c>
      <c r="S19" s="704">
        <v>5.4916230000000003E-2</v>
      </c>
      <c r="T19" s="704">
        <f>U19+V19+W19</f>
        <v>20.100000000000001</v>
      </c>
      <c r="U19" s="704">
        <v>19.100000000000001</v>
      </c>
      <c r="V19" s="704">
        <v>0.9</v>
      </c>
      <c r="W19" s="704">
        <v>0.1</v>
      </c>
      <c r="X19" s="705">
        <f t="shared" si="4"/>
        <v>2.7782152800000013</v>
      </c>
      <c r="Y19" s="705">
        <f t="shared" si="4"/>
        <v>2.7589000000000006</v>
      </c>
      <c r="Z19" s="705">
        <f t="shared" si="4"/>
        <v>-2.5768490000000033E-2</v>
      </c>
      <c r="AA19" s="706">
        <f t="shared" si="4"/>
        <v>4.5083770000000002E-2</v>
      </c>
      <c r="AB19" s="707"/>
    </row>
    <row r="20" spans="1:103" s="700" customFormat="1" x14ac:dyDescent="0.25">
      <c r="A20" s="709" t="s">
        <v>1188</v>
      </c>
      <c r="B20" s="693">
        <v>4</v>
      </c>
      <c r="C20" s="693"/>
      <c r="D20" s="694">
        <f>E20+F20+G20</f>
        <v>441.8</v>
      </c>
      <c r="E20" s="694">
        <f>E21+E22+E23+E24+E25+E26</f>
        <v>409.7</v>
      </c>
      <c r="F20" s="694">
        <f t="shared" ref="F20:G20" si="12">F21+F22+F23+F24+F25+F26</f>
        <v>29.499999999999996</v>
      </c>
      <c r="G20" s="694">
        <f t="shared" si="12"/>
        <v>2.6000000000000005</v>
      </c>
      <c r="H20" s="695">
        <f t="shared" si="8"/>
        <v>431.7759149800001</v>
      </c>
      <c r="I20" s="695">
        <f>I21+I22+I23+I24+I25+I26</f>
        <v>404.09998007000007</v>
      </c>
      <c r="J20" s="695">
        <f>J21+J22+J23+J24+J25+J26</f>
        <v>26.130750280000004</v>
      </c>
      <c r="K20" s="695">
        <f>K21+K22+K23+K24+K25+K26</f>
        <v>1.5451846299999998</v>
      </c>
      <c r="L20" s="695">
        <f t="shared" ref="L20:W20" si="13">L21+L22+L23+L24+L25+L26</f>
        <v>459.04910000000007</v>
      </c>
      <c r="M20" s="695">
        <f t="shared" si="13"/>
        <v>431.62450000000001</v>
      </c>
      <c r="N20" s="695">
        <f t="shared" si="13"/>
        <v>25.1204</v>
      </c>
      <c r="O20" s="695">
        <f t="shared" si="13"/>
        <v>2.3041999999999998</v>
      </c>
      <c r="P20" s="695">
        <f t="shared" si="13"/>
        <v>497.01590757000002</v>
      </c>
      <c r="Q20" s="695">
        <f t="shared" si="13"/>
        <v>461.99028125999996</v>
      </c>
      <c r="R20" s="695">
        <f t="shared" si="13"/>
        <v>33.884944279999999</v>
      </c>
      <c r="S20" s="695">
        <f t="shared" si="13"/>
        <v>1.14068203</v>
      </c>
      <c r="T20" s="695">
        <f t="shared" si="13"/>
        <v>524</v>
      </c>
      <c r="U20" s="695">
        <f t="shared" si="13"/>
        <v>484.79999999999995</v>
      </c>
      <c r="V20" s="695">
        <f t="shared" si="13"/>
        <v>37.800000000000004</v>
      </c>
      <c r="W20" s="695">
        <f t="shared" si="13"/>
        <v>1.4000000000000001</v>
      </c>
      <c r="X20" s="696">
        <f t="shared" si="4"/>
        <v>26.984092429999976</v>
      </c>
      <c r="Y20" s="696">
        <f t="shared" si="4"/>
        <v>22.809718739999994</v>
      </c>
      <c r="Z20" s="696">
        <f t="shared" si="4"/>
        <v>3.9150557200000051</v>
      </c>
      <c r="AA20" s="697">
        <f t="shared" si="4"/>
        <v>0.25931797000000012</v>
      </c>
      <c r="AB20" s="698"/>
      <c r="AC20" s="699"/>
      <c r="AD20" s="699"/>
      <c r="AE20" s="699"/>
      <c r="AF20" s="699"/>
      <c r="AG20" s="699"/>
      <c r="AH20" s="699"/>
      <c r="AI20" s="699"/>
      <c r="AJ20" s="699"/>
      <c r="AK20" s="699"/>
      <c r="AL20" s="699"/>
      <c r="AM20" s="699"/>
      <c r="AN20" s="699"/>
      <c r="AO20" s="699"/>
      <c r="AP20" s="699"/>
      <c r="AQ20" s="699"/>
      <c r="AR20" s="699"/>
      <c r="AS20" s="699"/>
      <c r="AT20" s="699"/>
      <c r="AU20" s="699"/>
      <c r="AV20" s="699"/>
      <c r="AW20" s="699"/>
      <c r="AX20" s="699"/>
      <c r="AY20" s="699"/>
      <c r="AZ20" s="699"/>
      <c r="BA20" s="699"/>
      <c r="BB20" s="699"/>
      <c r="BC20" s="699"/>
      <c r="BD20" s="699"/>
      <c r="BE20" s="699"/>
      <c r="BF20" s="699"/>
      <c r="BG20" s="699"/>
      <c r="BH20" s="699"/>
      <c r="BI20" s="699"/>
      <c r="BJ20" s="699"/>
      <c r="BK20" s="699"/>
      <c r="BL20" s="699"/>
      <c r="BM20" s="699"/>
      <c r="BN20" s="699"/>
      <c r="BO20" s="699"/>
      <c r="BP20" s="699"/>
      <c r="BQ20" s="699"/>
      <c r="BR20" s="699"/>
      <c r="BS20" s="699"/>
      <c r="BT20" s="699"/>
      <c r="BU20" s="699"/>
      <c r="BV20" s="699"/>
      <c r="BW20" s="699"/>
      <c r="BX20" s="699"/>
      <c r="BY20" s="699"/>
      <c r="BZ20" s="699"/>
      <c r="CA20" s="699"/>
      <c r="CB20" s="699"/>
      <c r="CC20" s="699"/>
      <c r="CD20" s="699"/>
      <c r="CE20" s="699"/>
      <c r="CF20" s="699"/>
      <c r="CG20" s="699"/>
      <c r="CH20" s="699"/>
      <c r="CI20" s="699"/>
      <c r="CJ20" s="699"/>
      <c r="CK20" s="699"/>
      <c r="CL20" s="699"/>
      <c r="CM20" s="699"/>
      <c r="CN20" s="699"/>
      <c r="CO20" s="699"/>
      <c r="CP20" s="699"/>
      <c r="CQ20" s="699"/>
      <c r="CR20" s="699"/>
      <c r="CS20" s="699"/>
      <c r="CT20" s="699"/>
      <c r="CU20" s="699"/>
      <c r="CV20" s="699"/>
      <c r="CW20" s="699"/>
      <c r="CX20" s="699"/>
      <c r="CY20" s="699"/>
    </row>
    <row r="21" spans="1:103" x14ac:dyDescent="0.25">
      <c r="A21" s="701" t="s">
        <v>1189</v>
      </c>
      <c r="B21" s="702">
        <v>4</v>
      </c>
      <c r="C21" s="702">
        <v>1</v>
      </c>
      <c r="D21" s="703">
        <f t="shared" ref="D21:D26" si="14">E21+F21+G21</f>
        <v>228.8</v>
      </c>
      <c r="E21" s="703">
        <v>210.9</v>
      </c>
      <c r="F21" s="703">
        <v>15.8</v>
      </c>
      <c r="G21" s="703">
        <v>2.1</v>
      </c>
      <c r="H21" s="704">
        <f>I21+J21+K21</f>
        <v>214.27869079000001</v>
      </c>
      <c r="I21" s="704">
        <v>201.32111925000001</v>
      </c>
      <c r="J21" s="704">
        <v>12.486733560000001</v>
      </c>
      <c r="K21" s="704">
        <v>0.47083797999999999</v>
      </c>
      <c r="L21" s="704">
        <f t="shared" ref="L21:L26" si="15">M21+N21+O21</f>
        <v>230.71740000000003</v>
      </c>
      <c r="M21" s="704">
        <v>216.72290000000001</v>
      </c>
      <c r="N21" s="704">
        <v>12.1493</v>
      </c>
      <c r="O21" s="704">
        <v>1.8452</v>
      </c>
      <c r="P21" s="704">
        <f t="shared" ref="P21:P26" si="16">Q21+R21+S21</f>
        <v>249.86251109</v>
      </c>
      <c r="Q21" s="704">
        <v>232.41224081999999</v>
      </c>
      <c r="R21" s="704">
        <v>16.66800551</v>
      </c>
      <c r="S21" s="704">
        <v>0.78226476</v>
      </c>
      <c r="T21" s="704">
        <f>U21+V21+W21</f>
        <v>260.90000000000003</v>
      </c>
      <c r="U21" s="704">
        <v>241.2</v>
      </c>
      <c r="V21" s="704">
        <v>18.600000000000001</v>
      </c>
      <c r="W21" s="704">
        <v>1.1000000000000001</v>
      </c>
      <c r="X21" s="705">
        <f t="shared" si="4"/>
        <v>11.037488910000036</v>
      </c>
      <c r="Y21" s="705">
        <f t="shared" si="4"/>
        <v>8.7877591799999948</v>
      </c>
      <c r="Z21" s="705">
        <f t="shared" si="4"/>
        <v>1.931994490000001</v>
      </c>
      <c r="AA21" s="706">
        <f t="shared" si="4"/>
        <v>0.31773524000000009</v>
      </c>
      <c r="AB21" s="707"/>
    </row>
    <row r="22" spans="1:103" x14ac:dyDescent="0.25">
      <c r="A22" s="701" t="s">
        <v>1190</v>
      </c>
      <c r="B22" s="702">
        <v>4</v>
      </c>
      <c r="C22" s="702">
        <v>2</v>
      </c>
      <c r="D22" s="703">
        <f t="shared" si="14"/>
        <v>55.7</v>
      </c>
      <c r="E22" s="703">
        <v>52.7</v>
      </c>
      <c r="F22" s="703">
        <v>2.9</v>
      </c>
      <c r="G22" s="703">
        <v>0.1</v>
      </c>
      <c r="H22" s="704">
        <f t="shared" ref="H22:H39" si="17">I22+J22+K22</f>
        <v>53.271457499999997</v>
      </c>
      <c r="I22" s="704">
        <v>50.837699999999998</v>
      </c>
      <c r="J22" s="704">
        <v>2.2227053900000002</v>
      </c>
      <c r="K22" s="704">
        <v>0.21105210999999999</v>
      </c>
      <c r="L22" s="704">
        <f t="shared" si="15"/>
        <v>55.433900000000001</v>
      </c>
      <c r="M22" s="704">
        <v>52.795400000000001</v>
      </c>
      <c r="N22" s="704">
        <v>2.6368999999999998</v>
      </c>
      <c r="O22" s="704">
        <v>1.6000000000000001E-3</v>
      </c>
      <c r="P22" s="704">
        <f t="shared" si="16"/>
        <v>55.376756520000001</v>
      </c>
      <c r="Q22" s="704">
        <v>52.416454520000002</v>
      </c>
      <c r="R22" s="704">
        <v>2.9303020000000002</v>
      </c>
      <c r="S22" s="704">
        <v>0.03</v>
      </c>
      <c r="T22" s="704">
        <f t="shared" ref="T22:T26" si="18">U22+V22+W22</f>
        <v>57.4</v>
      </c>
      <c r="U22" s="704">
        <v>54.8</v>
      </c>
      <c r="V22" s="704">
        <v>2.6</v>
      </c>
      <c r="W22" s="704">
        <v>0</v>
      </c>
      <c r="X22" s="705">
        <f t="shared" si="4"/>
        <v>2.0232434799999979</v>
      </c>
      <c r="Y22" s="705">
        <f t="shared" si="4"/>
        <v>2.3835454799999951</v>
      </c>
      <c r="Z22" s="705">
        <f t="shared" si="4"/>
        <v>-0.3303020000000001</v>
      </c>
      <c r="AA22" s="706">
        <f t="shared" si="4"/>
        <v>-0.03</v>
      </c>
      <c r="AB22" s="707"/>
    </row>
    <row r="23" spans="1:103" x14ac:dyDescent="0.25">
      <c r="A23" s="701" t="s">
        <v>1191</v>
      </c>
      <c r="B23" s="702">
        <v>4</v>
      </c>
      <c r="C23" s="702">
        <v>5</v>
      </c>
      <c r="D23" s="703">
        <f t="shared" si="14"/>
        <v>54.6</v>
      </c>
      <c r="E23" s="703">
        <v>52.4</v>
      </c>
      <c r="F23" s="703">
        <v>2</v>
      </c>
      <c r="G23" s="703">
        <v>0.2</v>
      </c>
      <c r="H23" s="704">
        <f t="shared" si="17"/>
        <v>56.558987500000001</v>
      </c>
      <c r="I23" s="704">
        <v>54.644331319999999</v>
      </c>
      <c r="J23" s="704">
        <v>1.5092582200000002</v>
      </c>
      <c r="K23" s="704">
        <v>0.40539796</v>
      </c>
      <c r="L23" s="704">
        <f t="shared" si="15"/>
        <v>59.545900000000003</v>
      </c>
      <c r="M23" s="704">
        <v>58.0319</v>
      </c>
      <c r="N23" s="704">
        <v>1.444</v>
      </c>
      <c r="O23" s="704">
        <v>7.0000000000000007E-2</v>
      </c>
      <c r="P23" s="704">
        <f t="shared" si="16"/>
        <v>65.134364320000003</v>
      </c>
      <c r="Q23" s="704">
        <v>62.703771850000003</v>
      </c>
      <c r="R23" s="704">
        <v>2.3685924699999998</v>
      </c>
      <c r="S23" s="704">
        <v>6.2E-2</v>
      </c>
      <c r="T23" s="704">
        <f t="shared" si="18"/>
        <v>68.8</v>
      </c>
      <c r="U23" s="704">
        <v>65.7</v>
      </c>
      <c r="V23" s="704">
        <v>3</v>
      </c>
      <c r="W23" s="704">
        <v>0.1</v>
      </c>
      <c r="X23" s="705">
        <f t="shared" si="4"/>
        <v>3.6656356799999941</v>
      </c>
      <c r="Y23" s="705">
        <f t="shared" si="4"/>
        <v>2.9962281500000003</v>
      </c>
      <c r="Z23" s="705">
        <f t="shared" si="4"/>
        <v>0.63140753000000016</v>
      </c>
      <c r="AA23" s="706">
        <f t="shared" si="4"/>
        <v>3.8000000000000006E-2</v>
      </c>
      <c r="AB23" s="707"/>
    </row>
    <row r="24" spans="1:103" x14ac:dyDescent="0.25">
      <c r="A24" s="701" t="s">
        <v>1192</v>
      </c>
      <c r="B24" s="702">
        <v>4</v>
      </c>
      <c r="C24" s="702">
        <v>8</v>
      </c>
      <c r="D24" s="703">
        <f t="shared" si="14"/>
        <v>43.7</v>
      </c>
      <c r="E24" s="703">
        <v>40.1</v>
      </c>
      <c r="F24" s="703">
        <v>3.4</v>
      </c>
      <c r="G24" s="703">
        <v>0.2</v>
      </c>
      <c r="H24" s="704">
        <f t="shared" si="17"/>
        <v>42.485764259999996</v>
      </c>
      <c r="I24" s="704">
        <v>38.107145809999999</v>
      </c>
      <c r="J24" s="704">
        <v>3.9282248499999999</v>
      </c>
      <c r="K24" s="704">
        <v>0.45039360000000001</v>
      </c>
      <c r="L24" s="704">
        <f t="shared" si="15"/>
        <v>44.561199999999999</v>
      </c>
      <c r="M24" s="704">
        <v>40.723700000000001</v>
      </c>
      <c r="N24" s="704">
        <v>3.4729999999999999</v>
      </c>
      <c r="O24" s="704">
        <v>0.36449999999999999</v>
      </c>
      <c r="P24" s="704">
        <f t="shared" si="16"/>
        <v>51.844758229999997</v>
      </c>
      <c r="Q24" s="704">
        <v>45.320660910000001</v>
      </c>
      <c r="R24" s="704">
        <v>6.4495360499999999</v>
      </c>
      <c r="S24" s="704">
        <v>7.4561269999999999E-2</v>
      </c>
      <c r="T24" s="704">
        <f t="shared" si="18"/>
        <v>55.7</v>
      </c>
      <c r="U24" s="704">
        <v>47.9</v>
      </c>
      <c r="V24" s="704">
        <v>7.6</v>
      </c>
      <c r="W24" s="704">
        <v>0.2</v>
      </c>
      <c r="X24" s="705">
        <f t="shared" si="4"/>
        <v>3.8552417700000063</v>
      </c>
      <c r="Y24" s="705">
        <f t="shared" si="4"/>
        <v>2.5793390899999977</v>
      </c>
      <c r="Z24" s="705">
        <f t="shared" si="4"/>
        <v>1.1504639499999998</v>
      </c>
      <c r="AA24" s="706">
        <f t="shared" si="4"/>
        <v>0.12543873</v>
      </c>
      <c r="AB24" s="707"/>
    </row>
    <row r="25" spans="1:103" x14ac:dyDescent="0.25">
      <c r="A25" s="701" t="s">
        <v>1193</v>
      </c>
      <c r="B25" s="702">
        <v>4</v>
      </c>
      <c r="C25" s="702">
        <v>10</v>
      </c>
      <c r="D25" s="703">
        <f t="shared" si="14"/>
        <v>12.7</v>
      </c>
      <c r="E25" s="703">
        <v>9.1999999999999993</v>
      </c>
      <c r="F25" s="703">
        <v>3.5</v>
      </c>
      <c r="G25" s="703"/>
      <c r="H25" s="704">
        <f t="shared" si="17"/>
        <v>23.264114670000001</v>
      </c>
      <c r="I25" s="704">
        <v>19.14431467</v>
      </c>
      <c r="J25" s="704">
        <v>4.1198000000000006</v>
      </c>
      <c r="K25" s="704">
        <v>0</v>
      </c>
      <c r="L25" s="704">
        <f t="shared" si="15"/>
        <v>26.480500000000003</v>
      </c>
      <c r="M25" s="704">
        <v>23.043500000000002</v>
      </c>
      <c r="N25" s="704">
        <v>3.4205999999999999</v>
      </c>
      <c r="O25" s="704">
        <v>1.6400000000000001E-2</v>
      </c>
      <c r="P25" s="704">
        <f t="shared" si="16"/>
        <v>28.784207119999998</v>
      </c>
      <c r="Q25" s="704">
        <v>25.103244459999999</v>
      </c>
      <c r="R25" s="704">
        <v>3.5209626599999999</v>
      </c>
      <c r="S25" s="704">
        <v>0.16</v>
      </c>
      <c r="T25" s="704">
        <f t="shared" si="18"/>
        <v>30.8</v>
      </c>
      <c r="U25" s="704">
        <v>26.3</v>
      </c>
      <c r="V25" s="704">
        <v>4.5</v>
      </c>
      <c r="W25" s="704">
        <v>0</v>
      </c>
      <c r="X25" s="705">
        <f t="shared" si="4"/>
        <v>2.0157928800000029</v>
      </c>
      <c r="Y25" s="705">
        <f t="shared" si="4"/>
        <v>1.1967555400000016</v>
      </c>
      <c r="Z25" s="705">
        <f t="shared" si="4"/>
        <v>0.97903734000000009</v>
      </c>
      <c r="AA25" s="706">
        <f t="shared" si="4"/>
        <v>-0.16</v>
      </c>
      <c r="AB25" s="707"/>
    </row>
    <row r="26" spans="1:103" ht="26.25" customHeight="1" x14ac:dyDescent="0.25">
      <c r="A26" s="701" t="s">
        <v>1194</v>
      </c>
      <c r="B26" s="702">
        <v>4</v>
      </c>
      <c r="C26" s="702">
        <v>12</v>
      </c>
      <c r="D26" s="703">
        <f t="shared" si="14"/>
        <v>46.3</v>
      </c>
      <c r="E26" s="703">
        <v>44.4</v>
      </c>
      <c r="F26" s="703">
        <v>1.9</v>
      </c>
      <c r="G26" s="703"/>
      <c r="H26" s="704">
        <f t="shared" si="17"/>
        <v>41.916900259999991</v>
      </c>
      <c r="I26" s="704">
        <v>40.045369019999995</v>
      </c>
      <c r="J26" s="704">
        <v>1.86402826</v>
      </c>
      <c r="K26" s="704">
        <v>7.5029800000000002E-3</v>
      </c>
      <c r="L26" s="704">
        <f t="shared" si="15"/>
        <v>42.310200000000002</v>
      </c>
      <c r="M26" s="704">
        <v>40.307099999999998</v>
      </c>
      <c r="N26" s="704">
        <v>1.9965999999999999</v>
      </c>
      <c r="O26" s="704">
        <v>6.4999999999999997E-3</v>
      </c>
      <c r="P26" s="704">
        <f t="shared" si="16"/>
        <v>46.013310289999993</v>
      </c>
      <c r="Q26" s="704">
        <v>44.033908699999998</v>
      </c>
      <c r="R26" s="704">
        <v>1.94754559</v>
      </c>
      <c r="S26" s="704">
        <v>3.1856000000000002E-2</v>
      </c>
      <c r="T26" s="704">
        <f t="shared" si="18"/>
        <v>50.4</v>
      </c>
      <c r="U26" s="704">
        <v>48.9</v>
      </c>
      <c r="V26" s="704">
        <v>1.5</v>
      </c>
      <c r="W26" s="704">
        <v>0</v>
      </c>
      <c r="X26" s="705">
        <f t="shared" si="4"/>
        <v>4.386689710000006</v>
      </c>
      <c r="Y26" s="705">
        <f t="shared" si="4"/>
        <v>4.8660913000000008</v>
      </c>
      <c r="Z26" s="705">
        <f t="shared" si="4"/>
        <v>-0.44754559000000005</v>
      </c>
      <c r="AA26" s="706">
        <f t="shared" si="4"/>
        <v>-3.1856000000000002E-2</v>
      </c>
      <c r="AB26" s="707"/>
    </row>
    <row r="27" spans="1:103" s="700" customFormat="1" x14ac:dyDescent="0.25">
      <c r="A27" s="692" t="s">
        <v>1195</v>
      </c>
      <c r="B27" s="693">
        <v>5</v>
      </c>
      <c r="C27" s="693"/>
      <c r="D27" s="694">
        <f>E27+F27+G27</f>
        <v>53.1</v>
      </c>
      <c r="E27" s="694">
        <f>E28</f>
        <v>47.4</v>
      </c>
      <c r="F27" s="694">
        <f t="shared" ref="F27:G27" si="19">F28</f>
        <v>5.5</v>
      </c>
      <c r="G27" s="694">
        <f t="shared" si="19"/>
        <v>0.2</v>
      </c>
      <c r="H27" s="695">
        <f t="shared" si="17"/>
        <v>52.380254369999996</v>
      </c>
      <c r="I27" s="695">
        <f>I28</f>
        <v>46.265599160000001</v>
      </c>
      <c r="J27" s="695">
        <f>J28</f>
        <v>5.9843552099999995</v>
      </c>
      <c r="K27" s="695">
        <f>K28</f>
        <v>0.1303</v>
      </c>
      <c r="L27" s="695">
        <f t="shared" ref="L27:W27" si="20">L28</f>
        <v>56.077999999999996</v>
      </c>
      <c r="M27" s="695">
        <f t="shared" si="20"/>
        <v>50.561799999999998</v>
      </c>
      <c r="N27" s="695">
        <f t="shared" si="20"/>
        <v>5.3747999999999996</v>
      </c>
      <c r="O27" s="695">
        <f t="shared" si="20"/>
        <v>0.1414</v>
      </c>
      <c r="P27" s="695">
        <f t="shared" si="20"/>
        <v>56.580772190000005</v>
      </c>
      <c r="Q27" s="695">
        <f t="shared" si="20"/>
        <v>51.02766432</v>
      </c>
      <c r="R27" s="695">
        <f t="shared" si="20"/>
        <v>5.5021078699999997</v>
      </c>
      <c r="S27" s="695">
        <f t="shared" si="20"/>
        <v>5.0999999999999997E-2</v>
      </c>
      <c r="T27" s="695">
        <f t="shared" si="20"/>
        <v>56.1</v>
      </c>
      <c r="U27" s="695">
        <f t="shared" si="20"/>
        <v>50.3</v>
      </c>
      <c r="V27" s="695">
        <f t="shared" si="20"/>
        <v>5.7</v>
      </c>
      <c r="W27" s="695">
        <f t="shared" si="20"/>
        <v>0.1</v>
      </c>
      <c r="X27" s="696">
        <f t="shared" si="4"/>
        <v>-0.48077219000000326</v>
      </c>
      <c r="Y27" s="696">
        <f t="shared" si="4"/>
        <v>-0.72766432000000236</v>
      </c>
      <c r="Z27" s="696">
        <f t="shared" si="4"/>
        <v>0.1978921300000005</v>
      </c>
      <c r="AA27" s="697">
        <f t="shared" si="4"/>
        <v>4.9000000000000009E-2</v>
      </c>
      <c r="AB27" s="698"/>
      <c r="AC27" s="699"/>
      <c r="AD27" s="699"/>
      <c r="AE27" s="699"/>
      <c r="AF27" s="699"/>
      <c r="AG27" s="699"/>
      <c r="AH27" s="699"/>
      <c r="AI27" s="699"/>
      <c r="AJ27" s="699"/>
      <c r="AK27" s="699"/>
      <c r="AL27" s="699"/>
      <c r="AM27" s="699"/>
      <c r="AN27" s="699"/>
      <c r="AO27" s="699"/>
      <c r="AP27" s="699"/>
      <c r="AQ27" s="699"/>
      <c r="AR27" s="699"/>
      <c r="AS27" s="699"/>
      <c r="AT27" s="699"/>
      <c r="AU27" s="699"/>
      <c r="AV27" s="699"/>
      <c r="AW27" s="699"/>
      <c r="AX27" s="699"/>
      <c r="AY27" s="699"/>
      <c r="AZ27" s="699"/>
      <c r="BA27" s="699"/>
      <c r="BB27" s="699"/>
      <c r="BC27" s="699"/>
      <c r="BD27" s="699"/>
      <c r="BE27" s="699"/>
      <c r="BF27" s="699"/>
      <c r="BG27" s="699"/>
      <c r="BH27" s="699"/>
      <c r="BI27" s="699"/>
      <c r="BJ27" s="699"/>
      <c r="BK27" s="699"/>
      <c r="BL27" s="699"/>
      <c r="BM27" s="699"/>
      <c r="BN27" s="699"/>
      <c r="BO27" s="699"/>
      <c r="BP27" s="699"/>
      <c r="BQ27" s="699"/>
      <c r="BR27" s="699"/>
      <c r="BS27" s="699"/>
      <c r="BT27" s="699"/>
      <c r="BU27" s="699"/>
      <c r="BV27" s="699"/>
      <c r="BW27" s="699"/>
      <c r="BX27" s="699"/>
      <c r="BY27" s="699"/>
      <c r="BZ27" s="699"/>
      <c r="CA27" s="699"/>
      <c r="CB27" s="699"/>
      <c r="CC27" s="699"/>
      <c r="CD27" s="699"/>
      <c r="CE27" s="699"/>
      <c r="CF27" s="699"/>
      <c r="CG27" s="699"/>
      <c r="CH27" s="699"/>
      <c r="CI27" s="699"/>
      <c r="CJ27" s="699"/>
      <c r="CK27" s="699"/>
      <c r="CL27" s="699"/>
      <c r="CM27" s="699"/>
      <c r="CN27" s="699"/>
      <c r="CO27" s="699"/>
      <c r="CP27" s="699"/>
      <c r="CQ27" s="699"/>
      <c r="CR27" s="699"/>
      <c r="CS27" s="699"/>
      <c r="CT27" s="699"/>
      <c r="CU27" s="699"/>
      <c r="CV27" s="699"/>
      <c r="CW27" s="699"/>
      <c r="CX27" s="699"/>
      <c r="CY27" s="699"/>
    </row>
    <row r="28" spans="1:103" ht="26.4" x14ac:dyDescent="0.25">
      <c r="A28" s="701" t="s">
        <v>1196</v>
      </c>
      <c r="B28" s="702">
        <v>5</v>
      </c>
      <c r="C28" s="702">
        <v>5</v>
      </c>
      <c r="D28" s="703">
        <f>E28+F28+G28</f>
        <v>53.1</v>
      </c>
      <c r="E28" s="703">
        <v>47.4</v>
      </c>
      <c r="F28" s="703">
        <v>5.5</v>
      </c>
      <c r="G28" s="703">
        <v>0.2</v>
      </c>
      <c r="H28" s="704">
        <f t="shared" si="17"/>
        <v>52.380254369999996</v>
      </c>
      <c r="I28" s="704">
        <v>46.265599160000001</v>
      </c>
      <c r="J28" s="704">
        <v>5.9843552099999995</v>
      </c>
      <c r="K28" s="704">
        <v>0.1303</v>
      </c>
      <c r="L28" s="704">
        <f>M28+N28+O28</f>
        <v>56.077999999999996</v>
      </c>
      <c r="M28" s="704">
        <v>50.561799999999998</v>
      </c>
      <c r="N28" s="704">
        <v>5.3747999999999996</v>
      </c>
      <c r="O28" s="704">
        <v>0.1414</v>
      </c>
      <c r="P28" s="704">
        <f>Q28+R28+S28</f>
        <v>56.580772190000005</v>
      </c>
      <c r="Q28" s="704">
        <v>51.02766432</v>
      </c>
      <c r="R28" s="704">
        <v>5.5021078699999997</v>
      </c>
      <c r="S28" s="704">
        <v>5.0999999999999997E-2</v>
      </c>
      <c r="T28" s="704">
        <f>U28+V28+W28</f>
        <v>56.1</v>
      </c>
      <c r="U28" s="704">
        <v>50.3</v>
      </c>
      <c r="V28" s="704">
        <v>5.7</v>
      </c>
      <c r="W28" s="704">
        <v>0.1</v>
      </c>
      <c r="X28" s="705">
        <f t="shared" si="4"/>
        <v>-0.48077219000000326</v>
      </c>
      <c r="Y28" s="705">
        <f t="shared" si="4"/>
        <v>-0.72766432000000236</v>
      </c>
      <c r="Z28" s="705">
        <f t="shared" si="4"/>
        <v>0.1978921300000005</v>
      </c>
      <c r="AA28" s="706">
        <f t="shared" si="4"/>
        <v>4.9000000000000009E-2</v>
      </c>
      <c r="AB28" s="707"/>
    </row>
    <row r="29" spans="1:103" s="700" customFormat="1" x14ac:dyDescent="0.25">
      <c r="A29" s="692" t="s">
        <v>1197</v>
      </c>
      <c r="B29" s="693">
        <v>7</v>
      </c>
      <c r="C29" s="693"/>
      <c r="D29" s="694">
        <f>E29+F29+G29</f>
        <v>52.800000000000004</v>
      </c>
      <c r="E29" s="694">
        <f>E30+E31</f>
        <v>50.7</v>
      </c>
      <c r="F29" s="694">
        <f t="shared" ref="F29:G29" si="21">F30+F31</f>
        <v>2</v>
      </c>
      <c r="G29" s="694">
        <f t="shared" si="21"/>
        <v>0.1</v>
      </c>
      <c r="H29" s="695">
        <f t="shared" si="17"/>
        <v>49.204449490000002</v>
      </c>
      <c r="I29" s="695">
        <f t="shared" ref="I29:K29" si="22">I31</f>
        <v>47.457542140000001</v>
      </c>
      <c r="J29" s="695">
        <f t="shared" si="22"/>
        <v>1.6859073499999999</v>
      </c>
      <c r="K29" s="695">
        <f t="shared" si="22"/>
        <v>6.0999999999999999E-2</v>
      </c>
      <c r="L29" s="695">
        <f t="shared" ref="L29:W29" si="23">L31+L30</f>
        <v>52.355899999999998</v>
      </c>
      <c r="M29" s="695">
        <f t="shared" si="23"/>
        <v>49.853499999999997</v>
      </c>
      <c r="N29" s="695">
        <f t="shared" si="23"/>
        <v>2.3059000000000003</v>
      </c>
      <c r="O29" s="695">
        <f t="shared" si="23"/>
        <v>0.19650000000000001</v>
      </c>
      <c r="P29" s="695">
        <f t="shared" si="23"/>
        <v>54.246426830000004</v>
      </c>
      <c r="Q29" s="695">
        <f t="shared" si="23"/>
        <v>51.086154630000003</v>
      </c>
      <c r="R29" s="695">
        <f t="shared" si="23"/>
        <v>3.0125051300000001</v>
      </c>
      <c r="S29" s="695">
        <f t="shared" si="23"/>
        <v>0.14776707</v>
      </c>
      <c r="T29" s="695">
        <f t="shared" si="23"/>
        <v>56.1</v>
      </c>
      <c r="U29" s="695">
        <f t="shared" si="23"/>
        <v>51.9</v>
      </c>
      <c r="V29" s="695">
        <f t="shared" si="23"/>
        <v>4.0999999999999996</v>
      </c>
      <c r="W29" s="695">
        <f t="shared" si="23"/>
        <v>0.1</v>
      </c>
      <c r="X29" s="696">
        <f t="shared" si="4"/>
        <v>1.8535731699999971</v>
      </c>
      <c r="Y29" s="696">
        <f t="shared" si="4"/>
        <v>0.81384536999999568</v>
      </c>
      <c r="Z29" s="696">
        <f t="shared" si="4"/>
        <v>1.0874948699999996</v>
      </c>
      <c r="AA29" s="697">
        <f t="shared" si="4"/>
        <v>-4.7767069999999995E-2</v>
      </c>
      <c r="AB29" s="698"/>
      <c r="AC29" s="699"/>
      <c r="AD29" s="699"/>
      <c r="AE29" s="699"/>
      <c r="AF29" s="699"/>
      <c r="AG29" s="699"/>
      <c r="AH29" s="699"/>
      <c r="AI29" s="699"/>
      <c r="AJ29" s="699"/>
      <c r="AK29" s="699"/>
      <c r="AL29" s="699"/>
      <c r="AM29" s="699"/>
      <c r="AN29" s="699"/>
      <c r="AO29" s="699"/>
      <c r="AP29" s="699"/>
      <c r="AQ29" s="699"/>
      <c r="AR29" s="699"/>
      <c r="AS29" s="699"/>
      <c r="AT29" s="699"/>
      <c r="AU29" s="699"/>
      <c r="AV29" s="699"/>
      <c r="AW29" s="699"/>
      <c r="AX29" s="699"/>
      <c r="AY29" s="699"/>
      <c r="AZ29" s="699"/>
      <c r="BA29" s="699"/>
      <c r="BB29" s="699"/>
      <c r="BC29" s="699"/>
      <c r="BD29" s="699"/>
      <c r="BE29" s="699"/>
      <c r="BF29" s="699"/>
      <c r="BG29" s="699"/>
      <c r="BH29" s="699"/>
      <c r="BI29" s="699"/>
      <c r="BJ29" s="699"/>
      <c r="BK29" s="699"/>
      <c r="BL29" s="699"/>
      <c r="BM29" s="699"/>
      <c r="BN29" s="699"/>
      <c r="BO29" s="699"/>
      <c r="BP29" s="699"/>
      <c r="BQ29" s="699"/>
      <c r="BR29" s="699"/>
      <c r="BS29" s="699"/>
      <c r="BT29" s="699"/>
      <c r="BU29" s="699"/>
      <c r="BV29" s="699"/>
      <c r="BW29" s="699"/>
      <c r="BX29" s="699"/>
      <c r="BY29" s="699"/>
      <c r="BZ29" s="699"/>
      <c r="CA29" s="699"/>
      <c r="CB29" s="699"/>
      <c r="CC29" s="699"/>
      <c r="CD29" s="699"/>
      <c r="CE29" s="699"/>
      <c r="CF29" s="699"/>
      <c r="CG29" s="699"/>
      <c r="CH29" s="699"/>
      <c r="CI29" s="699"/>
      <c r="CJ29" s="699"/>
      <c r="CK29" s="699"/>
      <c r="CL29" s="699"/>
      <c r="CM29" s="699"/>
      <c r="CN29" s="699"/>
      <c r="CO29" s="699"/>
      <c r="CP29" s="699"/>
      <c r="CQ29" s="699"/>
      <c r="CR29" s="699"/>
      <c r="CS29" s="699"/>
      <c r="CT29" s="699"/>
      <c r="CU29" s="699"/>
      <c r="CV29" s="699"/>
      <c r="CW29" s="699"/>
      <c r="CX29" s="699"/>
      <c r="CY29" s="699"/>
    </row>
    <row r="30" spans="1:103" ht="26.4" x14ac:dyDescent="0.25">
      <c r="A30" s="701" t="s">
        <v>1198</v>
      </c>
      <c r="B30" s="702">
        <v>7</v>
      </c>
      <c r="C30" s="702">
        <v>5</v>
      </c>
      <c r="D30" s="703">
        <f t="shared" ref="D30:D31" si="24">E30+F30+G30</f>
        <v>0</v>
      </c>
      <c r="E30" s="703">
        <v>0</v>
      </c>
      <c r="F30" s="703">
        <v>0</v>
      </c>
      <c r="G30" s="703">
        <v>0</v>
      </c>
      <c r="H30" s="704">
        <v>0</v>
      </c>
      <c r="I30" s="704"/>
      <c r="J30" s="704"/>
      <c r="K30" s="704"/>
      <c r="L30" s="704">
        <f>M30+N30+O30</f>
        <v>0.77400000000000002</v>
      </c>
      <c r="M30" s="704"/>
      <c r="N30" s="704">
        <v>0.77400000000000002</v>
      </c>
      <c r="O30" s="704"/>
      <c r="P30" s="704">
        <f>Q30+R30+S30</f>
        <v>0.79329000000000005</v>
      </c>
      <c r="Q30" s="704">
        <v>0</v>
      </c>
      <c r="R30" s="704">
        <v>0.79329000000000005</v>
      </c>
      <c r="S30" s="704">
        <v>0</v>
      </c>
      <c r="T30" s="704">
        <f>U30+V30+W30</f>
        <v>1</v>
      </c>
      <c r="U30" s="704">
        <v>0</v>
      </c>
      <c r="V30" s="704">
        <v>1</v>
      </c>
      <c r="W30" s="704">
        <v>0</v>
      </c>
      <c r="X30" s="705">
        <f t="shared" si="4"/>
        <v>0.20670999999999995</v>
      </c>
      <c r="Y30" s="705">
        <f t="shared" si="4"/>
        <v>0</v>
      </c>
      <c r="Z30" s="705">
        <f t="shared" si="4"/>
        <v>0.20670999999999995</v>
      </c>
      <c r="AA30" s="706">
        <f t="shared" si="4"/>
        <v>0</v>
      </c>
      <c r="AB30" s="707"/>
    </row>
    <row r="31" spans="1:103" s="710" customFormat="1" x14ac:dyDescent="0.25">
      <c r="A31" s="701" t="s">
        <v>1199</v>
      </c>
      <c r="B31" s="702">
        <v>7</v>
      </c>
      <c r="C31" s="702">
        <v>9</v>
      </c>
      <c r="D31" s="703">
        <f t="shared" si="24"/>
        <v>52.800000000000004</v>
      </c>
      <c r="E31" s="703">
        <v>50.7</v>
      </c>
      <c r="F31" s="703">
        <v>2</v>
      </c>
      <c r="G31" s="703">
        <v>0.1</v>
      </c>
      <c r="H31" s="704">
        <f t="shared" si="17"/>
        <v>49.204449490000002</v>
      </c>
      <c r="I31" s="704">
        <v>47.457542140000001</v>
      </c>
      <c r="J31" s="704">
        <v>1.6859073499999999</v>
      </c>
      <c r="K31" s="704">
        <v>6.0999999999999999E-2</v>
      </c>
      <c r="L31" s="704">
        <f>M31+N31+O31</f>
        <v>51.581899999999997</v>
      </c>
      <c r="M31" s="704">
        <v>49.853499999999997</v>
      </c>
      <c r="N31" s="704">
        <v>1.5319</v>
      </c>
      <c r="O31" s="704">
        <v>0.19650000000000001</v>
      </c>
      <c r="P31" s="704">
        <f>Q31+R31+S31</f>
        <v>53.453136830000005</v>
      </c>
      <c r="Q31" s="704">
        <v>51.086154630000003</v>
      </c>
      <c r="R31" s="704">
        <v>2.2192151299999998</v>
      </c>
      <c r="S31" s="704">
        <v>0.14776707</v>
      </c>
      <c r="T31" s="704">
        <f>U31+V31+W31</f>
        <v>55.1</v>
      </c>
      <c r="U31" s="704">
        <v>51.9</v>
      </c>
      <c r="V31" s="704">
        <v>3.1</v>
      </c>
      <c r="W31" s="704">
        <v>0.1</v>
      </c>
      <c r="X31" s="705">
        <f t="shared" si="4"/>
        <v>1.646863169999996</v>
      </c>
      <c r="Y31" s="705">
        <f t="shared" si="4"/>
        <v>0.81384536999999568</v>
      </c>
      <c r="Z31" s="705">
        <f t="shared" si="4"/>
        <v>0.88078487000000028</v>
      </c>
      <c r="AA31" s="706">
        <f t="shared" si="4"/>
        <v>-4.7767069999999995E-2</v>
      </c>
      <c r="AB31" s="698"/>
      <c r="AC31" s="699"/>
      <c r="AD31" s="699"/>
      <c r="AE31" s="699"/>
      <c r="AF31" s="699"/>
      <c r="AG31" s="699"/>
      <c r="AH31" s="699"/>
      <c r="AI31" s="699"/>
      <c r="AJ31" s="699"/>
      <c r="AK31" s="699"/>
      <c r="AL31" s="699"/>
      <c r="AM31" s="699"/>
      <c r="AN31" s="699"/>
      <c r="AO31" s="699"/>
      <c r="AP31" s="699"/>
      <c r="AQ31" s="699"/>
      <c r="AR31" s="699"/>
      <c r="AS31" s="699"/>
      <c r="AT31" s="699"/>
      <c r="AU31" s="699"/>
      <c r="AV31" s="699"/>
      <c r="AW31" s="699"/>
      <c r="AX31" s="699"/>
      <c r="AY31" s="699"/>
      <c r="AZ31" s="699"/>
      <c r="BA31" s="699"/>
      <c r="BB31" s="699"/>
      <c r="BC31" s="699"/>
      <c r="BD31" s="699"/>
      <c r="BE31" s="699"/>
      <c r="BF31" s="699"/>
      <c r="BG31" s="699"/>
      <c r="BH31" s="699"/>
      <c r="BI31" s="699"/>
      <c r="BJ31" s="699"/>
      <c r="BK31" s="699"/>
      <c r="BL31" s="699"/>
      <c r="BM31" s="699"/>
      <c r="BN31" s="699"/>
      <c r="BO31" s="699"/>
      <c r="BP31" s="699"/>
      <c r="BQ31" s="699"/>
      <c r="BR31" s="699"/>
      <c r="BS31" s="699"/>
      <c r="BT31" s="699"/>
      <c r="BU31" s="699"/>
      <c r="BV31" s="699"/>
      <c r="BW31" s="699"/>
      <c r="BX31" s="699"/>
      <c r="BY31" s="699"/>
      <c r="BZ31" s="699"/>
      <c r="CA31" s="699"/>
      <c r="CB31" s="699"/>
      <c r="CC31" s="699"/>
      <c r="CD31" s="699"/>
      <c r="CE31" s="699"/>
      <c r="CF31" s="699"/>
      <c r="CG31" s="699"/>
      <c r="CH31" s="699"/>
      <c r="CI31" s="699"/>
      <c r="CJ31" s="699"/>
      <c r="CK31" s="699"/>
      <c r="CL31" s="699"/>
      <c r="CM31" s="699"/>
      <c r="CN31" s="699"/>
      <c r="CO31" s="699"/>
      <c r="CP31" s="699"/>
      <c r="CQ31" s="699"/>
      <c r="CR31" s="699"/>
      <c r="CS31" s="699"/>
      <c r="CT31" s="699"/>
      <c r="CU31" s="699"/>
      <c r="CV31" s="699"/>
      <c r="CW31" s="699"/>
      <c r="CX31" s="699"/>
      <c r="CY31" s="699"/>
    </row>
    <row r="32" spans="1:103" s="711" customFormat="1" x14ac:dyDescent="0.25">
      <c r="A32" s="709" t="s">
        <v>1200</v>
      </c>
      <c r="B32" s="693">
        <v>8</v>
      </c>
      <c r="C32" s="693"/>
      <c r="D32" s="694">
        <f>E32+F32+G32</f>
        <v>34.699999999999996</v>
      </c>
      <c r="E32" s="694">
        <f>E33</f>
        <v>33.1</v>
      </c>
      <c r="F32" s="694">
        <f t="shared" ref="F32:G32" si="25">F33</f>
        <v>1.3</v>
      </c>
      <c r="G32" s="694">
        <f t="shared" si="25"/>
        <v>0.3</v>
      </c>
      <c r="H32" s="695">
        <f t="shared" si="17"/>
        <v>34.472554849999995</v>
      </c>
      <c r="I32" s="695">
        <f>I33</f>
        <v>32.780007209999994</v>
      </c>
      <c r="J32" s="695">
        <f>J33</f>
        <v>1.6425476400000001</v>
      </c>
      <c r="K32" s="695">
        <f>K33</f>
        <v>0.05</v>
      </c>
      <c r="L32" s="695">
        <f t="shared" ref="L32:W32" si="26">L33</f>
        <v>36.980300000000007</v>
      </c>
      <c r="M32" s="695">
        <f t="shared" si="26"/>
        <v>35.431600000000003</v>
      </c>
      <c r="N32" s="695">
        <f t="shared" si="26"/>
        <v>1.5442</v>
      </c>
      <c r="O32" s="695">
        <f t="shared" si="26"/>
        <v>4.4999999999999997E-3</v>
      </c>
      <c r="P32" s="695">
        <f t="shared" si="26"/>
        <v>45.30706387</v>
      </c>
      <c r="Q32" s="695">
        <f t="shared" si="26"/>
        <v>43.003646639999999</v>
      </c>
      <c r="R32" s="695">
        <f t="shared" si="26"/>
        <v>2.30341723</v>
      </c>
      <c r="S32" s="695">
        <f t="shared" si="26"/>
        <v>0</v>
      </c>
      <c r="T32" s="695">
        <f t="shared" si="26"/>
        <v>48.1</v>
      </c>
      <c r="U32" s="695">
        <f t="shared" si="26"/>
        <v>45.7</v>
      </c>
      <c r="V32" s="695">
        <f t="shared" si="26"/>
        <v>2.4</v>
      </c>
      <c r="W32" s="695">
        <f t="shared" si="26"/>
        <v>0</v>
      </c>
      <c r="X32" s="696">
        <f t="shared" si="4"/>
        <v>2.7929361300000011</v>
      </c>
      <c r="Y32" s="696">
        <f t="shared" si="4"/>
        <v>2.6963533600000034</v>
      </c>
      <c r="Z32" s="696">
        <f t="shared" si="4"/>
        <v>9.6582769999999929E-2</v>
      </c>
      <c r="AA32" s="697">
        <f t="shared" si="4"/>
        <v>0</v>
      </c>
      <c r="AB32" s="707"/>
      <c r="AC32" s="677"/>
      <c r="AD32" s="677"/>
      <c r="AE32" s="677"/>
      <c r="AF32" s="677"/>
      <c r="AG32" s="677"/>
      <c r="AH32" s="677"/>
      <c r="AI32" s="677"/>
      <c r="AJ32" s="677"/>
      <c r="AK32" s="677"/>
      <c r="AL32" s="677"/>
      <c r="AM32" s="677"/>
      <c r="AN32" s="677"/>
      <c r="AO32" s="677"/>
      <c r="AP32" s="677"/>
      <c r="AQ32" s="677"/>
      <c r="AR32" s="677"/>
      <c r="AS32" s="677"/>
      <c r="AT32" s="677"/>
      <c r="AU32" s="677"/>
      <c r="AV32" s="677"/>
      <c r="AW32" s="677"/>
      <c r="AX32" s="677"/>
      <c r="AY32" s="677"/>
      <c r="AZ32" s="677"/>
      <c r="BA32" s="677"/>
      <c r="BB32" s="677"/>
      <c r="BC32" s="677"/>
      <c r="BD32" s="677"/>
      <c r="BE32" s="677"/>
      <c r="BF32" s="677"/>
      <c r="BG32" s="677"/>
      <c r="BH32" s="677"/>
      <c r="BI32" s="677"/>
      <c r="BJ32" s="677"/>
      <c r="BK32" s="677"/>
      <c r="BL32" s="677"/>
      <c r="BM32" s="677"/>
      <c r="BN32" s="677"/>
      <c r="BO32" s="677"/>
      <c r="BP32" s="677"/>
      <c r="BQ32" s="677"/>
      <c r="BR32" s="677"/>
      <c r="BS32" s="677"/>
      <c r="BT32" s="677"/>
      <c r="BU32" s="677"/>
      <c r="BV32" s="677"/>
      <c r="BW32" s="677"/>
      <c r="BX32" s="677"/>
      <c r="BY32" s="677"/>
      <c r="BZ32" s="677"/>
      <c r="CA32" s="677"/>
      <c r="CB32" s="677"/>
      <c r="CC32" s="677"/>
      <c r="CD32" s="677"/>
      <c r="CE32" s="677"/>
      <c r="CF32" s="677"/>
      <c r="CG32" s="677"/>
      <c r="CH32" s="677"/>
      <c r="CI32" s="677"/>
      <c r="CJ32" s="677"/>
      <c r="CK32" s="677"/>
      <c r="CL32" s="677"/>
      <c r="CM32" s="677"/>
      <c r="CN32" s="677"/>
      <c r="CO32" s="677"/>
      <c r="CP32" s="677"/>
      <c r="CQ32" s="677"/>
      <c r="CR32" s="677"/>
      <c r="CS32" s="677"/>
      <c r="CT32" s="677"/>
      <c r="CU32" s="677"/>
      <c r="CV32" s="677"/>
      <c r="CW32" s="677"/>
      <c r="CX32" s="677"/>
      <c r="CY32" s="677"/>
    </row>
    <row r="33" spans="1:103" s="710" customFormat="1" ht="26.4" x14ac:dyDescent="0.25">
      <c r="A33" s="712" t="s">
        <v>1201</v>
      </c>
      <c r="B33" s="702">
        <v>8</v>
      </c>
      <c r="C33" s="702">
        <v>4</v>
      </c>
      <c r="D33" s="703">
        <f>E33+F33+G33</f>
        <v>34.699999999999996</v>
      </c>
      <c r="E33" s="703">
        <v>33.1</v>
      </c>
      <c r="F33" s="703">
        <v>1.3</v>
      </c>
      <c r="G33" s="703">
        <v>0.3</v>
      </c>
      <c r="H33" s="704">
        <f t="shared" si="17"/>
        <v>34.472554849999995</v>
      </c>
      <c r="I33" s="704">
        <v>32.780007209999994</v>
      </c>
      <c r="J33" s="704">
        <v>1.6425476400000001</v>
      </c>
      <c r="K33" s="704">
        <v>0.05</v>
      </c>
      <c r="L33" s="704">
        <f>M33+N33+O33</f>
        <v>36.980300000000007</v>
      </c>
      <c r="M33" s="704">
        <v>35.431600000000003</v>
      </c>
      <c r="N33" s="704">
        <v>1.5442</v>
      </c>
      <c r="O33" s="704">
        <v>4.4999999999999997E-3</v>
      </c>
      <c r="P33" s="704">
        <f>Q33+R33+S33</f>
        <v>45.30706387</v>
      </c>
      <c r="Q33" s="704">
        <v>43.003646639999999</v>
      </c>
      <c r="R33" s="704">
        <v>2.30341723</v>
      </c>
      <c r="S33" s="704">
        <v>0</v>
      </c>
      <c r="T33" s="704">
        <f>U33+V33+W33</f>
        <v>48.1</v>
      </c>
      <c r="U33" s="704">
        <v>45.7</v>
      </c>
      <c r="V33" s="704">
        <v>2.4</v>
      </c>
      <c r="W33" s="704">
        <v>0</v>
      </c>
      <c r="X33" s="705">
        <f t="shared" si="4"/>
        <v>2.7929361300000011</v>
      </c>
      <c r="Y33" s="705">
        <f t="shared" si="4"/>
        <v>2.6963533600000034</v>
      </c>
      <c r="Z33" s="705">
        <f t="shared" si="4"/>
        <v>9.6582769999999929E-2</v>
      </c>
      <c r="AA33" s="706">
        <f t="shared" si="4"/>
        <v>0</v>
      </c>
      <c r="AB33" s="698"/>
      <c r="AC33" s="699"/>
      <c r="AD33" s="699"/>
      <c r="AE33" s="699"/>
      <c r="AF33" s="699"/>
      <c r="AG33" s="699"/>
      <c r="AH33" s="699"/>
      <c r="AI33" s="699"/>
      <c r="AJ33" s="699"/>
      <c r="AK33" s="699"/>
      <c r="AL33" s="699"/>
      <c r="AM33" s="699"/>
      <c r="AN33" s="699"/>
      <c r="AO33" s="699"/>
      <c r="AP33" s="699"/>
      <c r="AQ33" s="699"/>
      <c r="AR33" s="699"/>
      <c r="AS33" s="699"/>
      <c r="AT33" s="699"/>
      <c r="AU33" s="699"/>
      <c r="AV33" s="699"/>
      <c r="AW33" s="699"/>
      <c r="AX33" s="699"/>
      <c r="AY33" s="699"/>
      <c r="AZ33" s="699"/>
      <c r="BA33" s="699"/>
      <c r="BB33" s="699"/>
      <c r="BC33" s="699"/>
      <c r="BD33" s="699"/>
      <c r="BE33" s="699"/>
      <c r="BF33" s="699"/>
      <c r="BG33" s="699"/>
      <c r="BH33" s="699"/>
      <c r="BI33" s="699"/>
      <c r="BJ33" s="699"/>
      <c r="BK33" s="699"/>
      <c r="BL33" s="699"/>
      <c r="BM33" s="699"/>
      <c r="BN33" s="699"/>
      <c r="BO33" s="699"/>
      <c r="BP33" s="699"/>
      <c r="BQ33" s="699"/>
      <c r="BR33" s="699"/>
      <c r="BS33" s="699"/>
      <c r="BT33" s="699"/>
      <c r="BU33" s="699"/>
      <c r="BV33" s="699"/>
      <c r="BW33" s="699"/>
      <c r="BX33" s="699"/>
      <c r="BY33" s="699"/>
      <c r="BZ33" s="699"/>
      <c r="CA33" s="699"/>
      <c r="CB33" s="699"/>
      <c r="CC33" s="699"/>
      <c r="CD33" s="699"/>
      <c r="CE33" s="699"/>
      <c r="CF33" s="699"/>
      <c r="CG33" s="699"/>
      <c r="CH33" s="699"/>
      <c r="CI33" s="699"/>
      <c r="CJ33" s="699"/>
      <c r="CK33" s="699"/>
      <c r="CL33" s="699"/>
      <c r="CM33" s="699"/>
      <c r="CN33" s="699"/>
      <c r="CO33" s="699"/>
      <c r="CP33" s="699"/>
      <c r="CQ33" s="699"/>
      <c r="CR33" s="699"/>
      <c r="CS33" s="699"/>
      <c r="CT33" s="699"/>
      <c r="CU33" s="699"/>
      <c r="CV33" s="699"/>
      <c r="CW33" s="699"/>
      <c r="CX33" s="699"/>
      <c r="CY33" s="699"/>
    </row>
    <row r="34" spans="1:103" s="711" customFormat="1" x14ac:dyDescent="0.25">
      <c r="A34" s="709" t="s">
        <v>1202</v>
      </c>
      <c r="B34" s="693">
        <v>9</v>
      </c>
      <c r="C34" s="693"/>
      <c r="D34" s="694">
        <f>E34+F34+G34</f>
        <v>82.600000000000009</v>
      </c>
      <c r="E34" s="694">
        <f>E35</f>
        <v>78.900000000000006</v>
      </c>
      <c r="F34" s="694">
        <f t="shared" ref="F34:G34" si="27">F35</f>
        <v>3.5</v>
      </c>
      <c r="G34" s="694">
        <f t="shared" si="27"/>
        <v>0.2</v>
      </c>
      <c r="H34" s="695">
        <f t="shared" si="17"/>
        <v>77.864571749999996</v>
      </c>
      <c r="I34" s="695">
        <f>I35</f>
        <v>74.178079650000001</v>
      </c>
      <c r="J34" s="695">
        <f>J35</f>
        <v>2.71553851</v>
      </c>
      <c r="K34" s="695">
        <f>K35</f>
        <v>0.97095359000000003</v>
      </c>
      <c r="L34" s="695">
        <f t="shared" ref="L34:W34" si="28">L35</f>
        <v>83.557900000000004</v>
      </c>
      <c r="M34" s="695">
        <f t="shared" si="28"/>
        <v>79.973200000000006</v>
      </c>
      <c r="N34" s="695">
        <f t="shared" si="28"/>
        <v>3.2479</v>
      </c>
      <c r="O34" s="695">
        <f t="shared" si="28"/>
        <v>0.33679999999999999</v>
      </c>
      <c r="P34" s="695">
        <f t="shared" si="28"/>
        <v>88.227646070999995</v>
      </c>
      <c r="Q34" s="695">
        <f t="shared" si="28"/>
        <v>84.415905129999999</v>
      </c>
      <c r="R34" s="695">
        <f t="shared" si="28"/>
        <v>3.7381039899999999</v>
      </c>
      <c r="S34" s="695">
        <f t="shared" si="28"/>
        <v>7.3636951000000006E-2</v>
      </c>
      <c r="T34" s="695">
        <f t="shared" si="28"/>
        <v>92.6</v>
      </c>
      <c r="U34" s="695">
        <f t="shared" si="28"/>
        <v>88.2</v>
      </c>
      <c r="V34" s="695">
        <f t="shared" si="28"/>
        <v>4.3</v>
      </c>
      <c r="W34" s="695">
        <f t="shared" si="28"/>
        <v>0.1</v>
      </c>
      <c r="X34" s="696">
        <f t="shared" si="4"/>
        <v>4.3723539289999991</v>
      </c>
      <c r="Y34" s="696">
        <f t="shared" si="4"/>
        <v>3.7840948700000041</v>
      </c>
      <c r="Z34" s="696">
        <f t="shared" si="4"/>
        <v>0.56189600999999989</v>
      </c>
      <c r="AA34" s="697">
        <f t="shared" si="4"/>
        <v>2.6363049E-2</v>
      </c>
      <c r="AB34" s="707"/>
      <c r="AC34" s="677"/>
      <c r="AD34" s="677"/>
      <c r="AE34" s="677"/>
      <c r="AF34" s="677"/>
      <c r="AG34" s="677"/>
      <c r="AH34" s="677"/>
      <c r="AI34" s="677"/>
      <c r="AJ34" s="677"/>
      <c r="AK34" s="677"/>
      <c r="AL34" s="677"/>
      <c r="AM34" s="677"/>
      <c r="AN34" s="677"/>
      <c r="AO34" s="677"/>
      <c r="AP34" s="677"/>
      <c r="AQ34" s="677"/>
      <c r="AR34" s="677"/>
      <c r="AS34" s="677"/>
      <c r="AT34" s="677"/>
      <c r="AU34" s="677"/>
      <c r="AV34" s="677"/>
      <c r="AW34" s="677"/>
      <c r="AX34" s="677"/>
      <c r="AY34" s="677"/>
      <c r="AZ34" s="677"/>
      <c r="BA34" s="677"/>
      <c r="BB34" s="677"/>
      <c r="BC34" s="677"/>
      <c r="BD34" s="677"/>
      <c r="BE34" s="677"/>
      <c r="BF34" s="677"/>
      <c r="BG34" s="677"/>
      <c r="BH34" s="677"/>
      <c r="BI34" s="677"/>
      <c r="BJ34" s="677"/>
      <c r="BK34" s="677"/>
      <c r="BL34" s="677"/>
      <c r="BM34" s="677"/>
      <c r="BN34" s="677"/>
      <c r="BO34" s="677"/>
      <c r="BP34" s="677"/>
      <c r="BQ34" s="677"/>
      <c r="BR34" s="677"/>
      <c r="BS34" s="677"/>
      <c r="BT34" s="677"/>
      <c r="BU34" s="677"/>
      <c r="BV34" s="677"/>
      <c r="BW34" s="677"/>
      <c r="BX34" s="677"/>
      <c r="BY34" s="677"/>
      <c r="BZ34" s="677"/>
      <c r="CA34" s="677"/>
      <c r="CB34" s="677"/>
      <c r="CC34" s="677"/>
      <c r="CD34" s="677"/>
      <c r="CE34" s="677"/>
      <c r="CF34" s="677"/>
      <c r="CG34" s="677"/>
      <c r="CH34" s="677"/>
      <c r="CI34" s="677"/>
      <c r="CJ34" s="677"/>
      <c r="CK34" s="677"/>
      <c r="CL34" s="677"/>
      <c r="CM34" s="677"/>
      <c r="CN34" s="677"/>
      <c r="CO34" s="677"/>
      <c r="CP34" s="677"/>
      <c r="CQ34" s="677"/>
      <c r="CR34" s="677"/>
      <c r="CS34" s="677"/>
      <c r="CT34" s="677"/>
      <c r="CU34" s="677"/>
      <c r="CV34" s="677"/>
      <c r="CW34" s="677"/>
      <c r="CX34" s="677"/>
      <c r="CY34" s="677"/>
    </row>
    <row r="35" spans="1:103" s="710" customFormat="1" x14ac:dyDescent="0.25">
      <c r="A35" s="712" t="s">
        <v>1203</v>
      </c>
      <c r="B35" s="702">
        <v>9</v>
      </c>
      <c r="C35" s="702">
        <v>9</v>
      </c>
      <c r="D35" s="703">
        <f t="shared" ref="D35:D39" si="29">E35+F35+G35</f>
        <v>82.600000000000009</v>
      </c>
      <c r="E35" s="703">
        <v>78.900000000000006</v>
      </c>
      <c r="F35" s="703">
        <v>3.5</v>
      </c>
      <c r="G35" s="703">
        <v>0.2</v>
      </c>
      <c r="H35" s="704">
        <f t="shared" si="17"/>
        <v>77.864571749999996</v>
      </c>
      <c r="I35" s="704">
        <v>74.178079650000001</v>
      </c>
      <c r="J35" s="704">
        <v>2.71553851</v>
      </c>
      <c r="K35" s="704">
        <v>0.97095359000000003</v>
      </c>
      <c r="L35" s="704">
        <f>M35+N35+O35</f>
        <v>83.557900000000004</v>
      </c>
      <c r="M35" s="704">
        <v>79.973200000000006</v>
      </c>
      <c r="N35" s="704">
        <v>3.2479</v>
      </c>
      <c r="O35" s="704">
        <v>0.33679999999999999</v>
      </c>
      <c r="P35" s="704">
        <f>Q35+R35+S35</f>
        <v>88.227646070999995</v>
      </c>
      <c r="Q35" s="704">
        <v>84.415905129999999</v>
      </c>
      <c r="R35" s="704">
        <v>3.7381039899999999</v>
      </c>
      <c r="S35" s="704">
        <v>7.3636951000000006E-2</v>
      </c>
      <c r="T35" s="704">
        <f>U35+V35+W35</f>
        <v>92.6</v>
      </c>
      <c r="U35" s="704">
        <v>88.2</v>
      </c>
      <c r="V35" s="704">
        <v>4.3</v>
      </c>
      <c r="W35" s="704">
        <v>0.1</v>
      </c>
      <c r="X35" s="705">
        <f t="shared" si="4"/>
        <v>4.3723539289999991</v>
      </c>
      <c r="Y35" s="705">
        <f t="shared" si="4"/>
        <v>3.7840948700000041</v>
      </c>
      <c r="Z35" s="705">
        <f t="shared" si="4"/>
        <v>0.56189600999999989</v>
      </c>
      <c r="AA35" s="706">
        <f t="shared" si="4"/>
        <v>2.6363049E-2</v>
      </c>
      <c r="AB35" s="698"/>
      <c r="AC35" s="699"/>
      <c r="AD35" s="699"/>
      <c r="AE35" s="699"/>
      <c r="AF35" s="699"/>
      <c r="AG35" s="699"/>
      <c r="AH35" s="699"/>
      <c r="AI35" s="699"/>
      <c r="AJ35" s="699"/>
      <c r="AK35" s="699"/>
      <c r="AL35" s="699"/>
      <c r="AM35" s="699"/>
      <c r="AN35" s="699"/>
      <c r="AO35" s="699"/>
      <c r="AP35" s="699"/>
      <c r="AQ35" s="699"/>
      <c r="AR35" s="699"/>
      <c r="AS35" s="699"/>
      <c r="AT35" s="699"/>
      <c r="AU35" s="699"/>
      <c r="AV35" s="699"/>
      <c r="AW35" s="699"/>
      <c r="AX35" s="699"/>
      <c r="AY35" s="699"/>
      <c r="AZ35" s="699"/>
      <c r="BA35" s="699"/>
      <c r="BB35" s="699"/>
      <c r="BC35" s="699"/>
      <c r="BD35" s="699"/>
      <c r="BE35" s="699"/>
      <c r="BF35" s="699"/>
      <c r="BG35" s="699"/>
      <c r="BH35" s="699"/>
      <c r="BI35" s="699"/>
      <c r="BJ35" s="699"/>
      <c r="BK35" s="699"/>
      <c r="BL35" s="699"/>
      <c r="BM35" s="699"/>
      <c r="BN35" s="699"/>
      <c r="BO35" s="699"/>
      <c r="BP35" s="699"/>
      <c r="BQ35" s="699"/>
      <c r="BR35" s="699"/>
      <c r="BS35" s="699"/>
      <c r="BT35" s="699"/>
      <c r="BU35" s="699"/>
      <c r="BV35" s="699"/>
      <c r="BW35" s="699"/>
      <c r="BX35" s="699"/>
      <c r="BY35" s="699"/>
      <c r="BZ35" s="699"/>
      <c r="CA35" s="699"/>
      <c r="CB35" s="699"/>
      <c r="CC35" s="699"/>
      <c r="CD35" s="699"/>
      <c r="CE35" s="699"/>
      <c r="CF35" s="699"/>
      <c r="CG35" s="699"/>
      <c r="CH35" s="699"/>
      <c r="CI35" s="699"/>
      <c r="CJ35" s="699"/>
      <c r="CK35" s="699"/>
      <c r="CL35" s="699"/>
      <c r="CM35" s="699"/>
      <c r="CN35" s="699"/>
      <c r="CO35" s="699"/>
      <c r="CP35" s="699"/>
      <c r="CQ35" s="699"/>
      <c r="CR35" s="699"/>
      <c r="CS35" s="699"/>
      <c r="CT35" s="699"/>
      <c r="CU35" s="699"/>
      <c r="CV35" s="699"/>
      <c r="CW35" s="699"/>
      <c r="CX35" s="699"/>
      <c r="CY35" s="699"/>
    </row>
    <row r="36" spans="1:103" s="711" customFormat="1" x14ac:dyDescent="0.25">
      <c r="A36" s="709" t="s">
        <v>1204</v>
      </c>
      <c r="B36" s="693">
        <v>11</v>
      </c>
      <c r="C36" s="693"/>
      <c r="D36" s="694">
        <f t="shared" si="29"/>
        <v>0</v>
      </c>
      <c r="E36" s="694">
        <f>E37</f>
        <v>0</v>
      </c>
      <c r="F36" s="694">
        <f t="shared" ref="F36:G36" si="30">F37</f>
        <v>0</v>
      </c>
      <c r="G36" s="694">
        <f t="shared" si="30"/>
        <v>0</v>
      </c>
      <c r="H36" s="695">
        <f>H37</f>
        <v>15.92318882</v>
      </c>
      <c r="I36" s="695">
        <f>I37</f>
        <v>15.26169782</v>
      </c>
      <c r="J36" s="695">
        <f>J37</f>
        <v>0.62626000000000004</v>
      </c>
      <c r="K36" s="695">
        <f>K37</f>
        <v>3.5230999999999998E-2</v>
      </c>
      <c r="L36" s="695">
        <f t="shared" ref="L36:W36" si="31">L37</f>
        <v>15.803699999999999</v>
      </c>
      <c r="M36" s="695">
        <f t="shared" si="31"/>
        <v>15.1952</v>
      </c>
      <c r="N36" s="695">
        <f t="shared" si="31"/>
        <v>0.60850000000000004</v>
      </c>
      <c r="O36" s="695">
        <f t="shared" si="31"/>
        <v>0</v>
      </c>
      <c r="P36" s="695">
        <f t="shared" si="31"/>
        <v>16.523900000000001</v>
      </c>
      <c r="Q36" s="695">
        <f t="shared" si="31"/>
        <v>15.973100000000001</v>
      </c>
      <c r="R36" s="695">
        <f t="shared" si="31"/>
        <v>0.55079999999999996</v>
      </c>
      <c r="S36" s="695">
        <f t="shared" si="31"/>
        <v>0</v>
      </c>
      <c r="T36" s="695">
        <f t="shared" si="31"/>
        <v>18.799999999999997</v>
      </c>
      <c r="U36" s="695">
        <f t="shared" si="31"/>
        <v>16.899999999999999</v>
      </c>
      <c r="V36" s="695">
        <f t="shared" si="31"/>
        <v>1.9</v>
      </c>
      <c r="W36" s="695">
        <f t="shared" si="31"/>
        <v>0</v>
      </c>
      <c r="X36" s="696">
        <f t="shared" si="4"/>
        <v>2.276099999999996</v>
      </c>
      <c r="Y36" s="696">
        <f t="shared" si="4"/>
        <v>0.92689999999999806</v>
      </c>
      <c r="Z36" s="696">
        <f t="shared" si="4"/>
        <v>1.3492</v>
      </c>
      <c r="AA36" s="697">
        <f t="shared" si="4"/>
        <v>0</v>
      </c>
      <c r="AB36" s="707"/>
      <c r="AC36" s="677"/>
      <c r="AD36" s="677"/>
      <c r="AE36" s="677"/>
      <c r="AF36" s="677"/>
      <c r="AG36" s="677"/>
      <c r="AH36" s="677"/>
      <c r="AI36" s="677"/>
      <c r="AJ36" s="677"/>
      <c r="AK36" s="677"/>
      <c r="AL36" s="677"/>
      <c r="AM36" s="677"/>
      <c r="AN36" s="677"/>
      <c r="AO36" s="677"/>
      <c r="AP36" s="677"/>
      <c r="AQ36" s="677"/>
      <c r="AR36" s="677"/>
      <c r="AS36" s="677"/>
      <c r="AT36" s="677"/>
      <c r="AU36" s="677"/>
      <c r="AV36" s="677"/>
      <c r="AW36" s="677"/>
      <c r="AX36" s="677"/>
      <c r="AY36" s="677"/>
      <c r="AZ36" s="677"/>
      <c r="BA36" s="677"/>
      <c r="BB36" s="677"/>
      <c r="BC36" s="677"/>
      <c r="BD36" s="677"/>
      <c r="BE36" s="677"/>
      <c r="BF36" s="677"/>
      <c r="BG36" s="677"/>
      <c r="BH36" s="677"/>
      <c r="BI36" s="677"/>
      <c r="BJ36" s="677"/>
      <c r="BK36" s="677"/>
      <c r="BL36" s="677"/>
      <c r="BM36" s="677"/>
      <c r="BN36" s="677"/>
      <c r="BO36" s="677"/>
      <c r="BP36" s="677"/>
      <c r="BQ36" s="677"/>
      <c r="BR36" s="677"/>
      <c r="BS36" s="677"/>
      <c r="BT36" s="677"/>
      <c r="BU36" s="677"/>
      <c r="BV36" s="677"/>
      <c r="BW36" s="677"/>
      <c r="BX36" s="677"/>
      <c r="BY36" s="677"/>
      <c r="BZ36" s="677"/>
      <c r="CA36" s="677"/>
      <c r="CB36" s="677"/>
      <c r="CC36" s="677"/>
      <c r="CD36" s="677"/>
      <c r="CE36" s="677"/>
      <c r="CF36" s="677"/>
      <c r="CG36" s="677"/>
      <c r="CH36" s="677"/>
      <c r="CI36" s="677"/>
      <c r="CJ36" s="677"/>
      <c r="CK36" s="677"/>
      <c r="CL36" s="677"/>
      <c r="CM36" s="677"/>
      <c r="CN36" s="677"/>
      <c r="CO36" s="677"/>
      <c r="CP36" s="677"/>
      <c r="CQ36" s="677"/>
      <c r="CR36" s="677"/>
      <c r="CS36" s="677"/>
      <c r="CT36" s="677"/>
      <c r="CU36" s="677"/>
      <c r="CV36" s="677"/>
      <c r="CW36" s="677"/>
      <c r="CX36" s="677"/>
      <c r="CY36" s="677"/>
    </row>
    <row r="37" spans="1:103" s="699" customFormat="1" ht="26.4" x14ac:dyDescent="0.25">
      <c r="A37" s="712" t="s">
        <v>1205</v>
      </c>
      <c r="B37" s="702">
        <v>11</v>
      </c>
      <c r="C37" s="702">
        <v>5</v>
      </c>
      <c r="D37" s="703">
        <f t="shared" si="29"/>
        <v>0</v>
      </c>
      <c r="E37" s="703">
        <v>0</v>
      </c>
      <c r="F37" s="703">
        <v>0</v>
      </c>
      <c r="G37" s="703">
        <v>0</v>
      </c>
      <c r="H37" s="704">
        <f>I37+J37+K37</f>
        <v>15.92318882</v>
      </c>
      <c r="I37" s="704">
        <v>15.26169782</v>
      </c>
      <c r="J37" s="704">
        <v>0.62626000000000004</v>
      </c>
      <c r="K37" s="704">
        <v>3.5230999999999998E-2</v>
      </c>
      <c r="L37" s="704">
        <f>M37+N37+O37</f>
        <v>15.803699999999999</v>
      </c>
      <c r="M37" s="704">
        <v>15.1952</v>
      </c>
      <c r="N37" s="704">
        <v>0.60850000000000004</v>
      </c>
      <c r="O37" s="704"/>
      <c r="P37" s="704">
        <f>Q37+R37+S37</f>
        <v>16.523900000000001</v>
      </c>
      <c r="Q37" s="704">
        <v>15.973100000000001</v>
      </c>
      <c r="R37" s="704">
        <v>0.55079999999999996</v>
      </c>
      <c r="S37" s="704">
        <v>0</v>
      </c>
      <c r="T37" s="704">
        <f>U37+V37+W37</f>
        <v>18.799999999999997</v>
      </c>
      <c r="U37" s="704">
        <v>16.899999999999999</v>
      </c>
      <c r="V37" s="704">
        <v>1.9</v>
      </c>
      <c r="W37" s="704">
        <v>0</v>
      </c>
      <c r="X37" s="705">
        <f t="shared" si="4"/>
        <v>2.276099999999996</v>
      </c>
      <c r="Y37" s="705">
        <f t="shared" si="4"/>
        <v>0.92689999999999806</v>
      </c>
      <c r="Z37" s="705">
        <f t="shared" si="4"/>
        <v>1.3492</v>
      </c>
      <c r="AA37" s="706">
        <f t="shared" si="4"/>
        <v>0</v>
      </c>
      <c r="AB37" s="698"/>
    </row>
    <row r="38" spans="1:103" s="711" customFormat="1" hidden="1" x14ac:dyDescent="0.25">
      <c r="A38" s="692" t="s">
        <v>1206</v>
      </c>
      <c r="B38" s="693">
        <v>12</v>
      </c>
      <c r="C38" s="693"/>
      <c r="D38" s="694">
        <f>E38+F38+G38</f>
        <v>20.799999999999997</v>
      </c>
      <c r="E38" s="694">
        <f>E39</f>
        <v>19.899999999999999</v>
      </c>
      <c r="F38" s="694">
        <f t="shared" ref="F38:G38" si="32">F39</f>
        <v>0.9</v>
      </c>
      <c r="G38" s="694">
        <f t="shared" si="32"/>
        <v>0</v>
      </c>
      <c r="H38" s="695">
        <f t="shared" si="17"/>
        <v>0</v>
      </c>
      <c r="I38" s="695">
        <f>I39</f>
        <v>0</v>
      </c>
      <c r="J38" s="695">
        <f>J39</f>
        <v>0</v>
      </c>
      <c r="K38" s="695">
        <f>K39</f>
        <v>0</v>
      </c>
      <c r="L38" s="695">
        <f t="shared" ref="L38:W38" si="33">L39</f>
        <v>0</v>
      </c>
      <c r="M38" s="695">
        <f t="shared" si="33"/>
        <v>0</v>
      </c>
      <c r="N38" s="695">
        <f t="shared" si="33"/>
        <v>0</v>
      </c>
      <c r="O38" s="695">
        <f t="shared" si="33"/>
        <v>0</v>
      </c>
      <c r="P38" s="695">
        <f t="shared" si="33"/>
        <v>0</v>
      </c>
      <c r="Q38" s="695">
        <f t="shared" si="33"/>
        <v>0</v>
      </c>
      <c r="R38" s="695">
        <f t="shared" si="33"/>
        <v>0</v>
      </c>
      <c r="S38" s="695">
        <f t="shared" si="33"/>
        <v>0</v>
      </c>
      <c r="T38" s="695">
        <f t="shared" si="33"/>
        <v>0</v>
      </c>
      <c r="U38" s="695">
        <f t="shared" si="33"/>
        <v>0</v>
      </c>
      <c r="V38" s="695">
        <f t="shared" si="33"/>
        <v>0</v>
      </c>
      <c r="W38" s="695">
        <f t="shared" si="33"/>
        <v>0</v>
      </c>
      <c r="X38" s="696">
        <f t="shared" si="4"/>
        <v>0</v>
      </c>
      <c r="Y38" s="696">
        <f t="shared" si="4"/>
        <v>0</v>
      </c>
      <c r="Z38" s="696">
        <f t="shared" si="4"/>
        <v>0</v>
      </c>
      <c r="AA38" s="697">
        <f t="shared" si="4"/>
        <v>0</v>
      </c>
      <c r="AB38" s="677"/>
      <c r="AC38" s="677"/>
      <c r="AD38" s="677"/>
      <c r="AE38" s="677"/>
      <c r="AF38" s="677"/>
      <c r="AG38" s="677"/>
      <c r="AH38" s="677"/>
      <c r="AI38" s="677"/>
      <c r="AJ38" s="677"/>
      <c r="AK38" s="677"/>
      <c r="AL38" s="677"/>
      <c r="AM38" s="677"/>
      <c r="AN38" s="677"/>
      <c r="AO38" s="677"/>
      <c r="AP38" s="677"/>
      <c r="AQ38" s="677"/>
      <c r="AR38" s="677"/>
      <c r="AS38" s="677"/>
      <c r="AT38" s="677"/>
      <c r="AU38" s="677"/>
      <c r="AV38" s="677"/>
      <c r="AW38" s="677"/>
      <c r="AX38" s="677"/>
      <c r="AY38" s="677"/>
      <c r="AZ38" s="677"/>
      <c r="BA38" s="677"/>
      <c r="BB38" s="677"/>
      <c r="BC38" s="677"/>
      <c r="BD38" s="677"/>
      <c r="BE38" s="677"/>
      <c r="BF38" s="677"/>
      <c r="BG38" s="677"/>
      <c r="BH38" s="677"/>
      <c r="BI38" s="677"/>
      <c r="BJ38" s="677"/>
      <c r="BK38" s="677"/>
      <c r="BL38" s="677"/>
      <c r="BM38" s="677"/>
      <c r="BN38" s="677"/>
      <c r="BO38" s="677"/>
      <c r="BP38" s="677"/>
      <c r="BQ38" s="677"/>
      <c r="BR38" s="677"/>
      <c r="BS38" s="677"/>
      <c r="BT38" s="677"/>
      <c r="BU38" s="677"/>
      <c r="BV38" s="677"/>
      <c r="BW38" s="677"/>
      <c r="BX38" s="677"/>
      <c r="BY38" s="677"/>
      <c r="BZ38" s="677"/>
      <c r="CA38" s="677"/>
      <c r="CB38" s="677"/>
      <c r="CC38" s="677"/>
      <c r="CD38" s="677"/>
      <c r="CE38" s="677"/>
      <c r="CF38" s="677"/>
      <c r="CG38" s="677"/>
      <c r="CH38" s="677"/>
      <c r="CI38" s="677"/>
      <c r="CJ38" s="677"/>
      <c r="CK38" s="677"/>
      <c r="CL38" s="677"/>
      <c r="CM38" s="677"/>
      <c r="CN38" s="677"/>
      <c r="CO38" s="677"/>
      <c r="CP38" s="677"/>
      <c r="CQ38" s="677"/>
      <c r="CR38" s="677"/>
      <c r="CS38" s="677"/>
      <c r="CT38" s="677"/>
      <c r="CU38" s="677"/>
      <c r="CV38" s="677"/>
      <c r="CW38" s="677"/>
      <c r="CX38" s="677"/>
      <c r="CY38" s="677"/>
    </row>
    <row r="39" spans="1:103" ht="26.4" hidden="1" x14ac:dyDescent="0.25">
      <c r="A39" s="713" t="s">
        <v>1207</v>
      </c>
      <c r="B39" s="702">
        <v>12</v>
      </c>
      <c r="C39" s="702">
        <v>4</v>
      </c>
      <c r="D39" s="703">
        <f t="shared" si="29"/>
        <v>20.799999999999997</v>
      </c>
      <c r="E39" s="703">
        <v>19.899999999999999</v>
      </c>
      <c r="F39" s="703">
        <v>0.9</v>
      </c>
      <c r="G39" s="703">
        <v>0</v>
      </c>
      <c r="H39" s="714">
        <f t="shared" si="17"/>
        <v>0</v>
      </c>
      <c r="I39" s="714"/>
      <c r="J39" s="714"/>
      <c r="K39" s="714"/>
      <c r="L39" s="714">
        <f>M39+N39+O39</f>
        <v>0</v>
      </c>
      <c r="M39" s="714"/>
      <c r="N39" s="714"/>
      <c r="O39" s="714"/>
      <c r="P39" s="714">
        <f>Q39+R39+S39</f>
        <v>0</v>
      </c>
      <c r="Q39" s="714"/>
      <c r="R39" s="714"/>
      <c r="S39" s="714"/>
      <c r="T39" s="714">
        <f>U39+V39+W39</f>
        <v>0</v>
      </c>
      <c r="U39" s="714"/>
      <c r="V39" s="714"/>
      <c r="W39" s="714"/>
      <c r="X39" s="696">
        <f t="shared" si="4"/>
        <v>0</v>
      </c>
      <c r="Y39" s="696">
        <f t="shared" si="4"/>
        <v>0</v>
      </c>
      <c r="Z39" s="696">
        <f t="shared" si="4"/>
        <v>0</v>
      </c>
      <c r="AA39" s="697">
        <f t="shared" si="4"/>
        <v>0</v>
      </c>
    </row>
    <row r="40" spans="1:103" ht="13.8" thickBot="1" x14ac:dyDescent="0.3">
      <c r="A40" s="715" t="s">
        <v>431</v>
      </c>
      <c r="B40" s="716"/>
      <c r="C40" s="716"/>
      <c r="D40" s="717">
        <f>D10+D18+D20+D27+D29+D32+D34+D36+D38</f>
        <v>1708.7999999999997</v>
      </c>
      <c r="E40" s="717">
        <f t="shared" ref="E40:G40" si="34">E10+E18+E20+E27+E29+E32+E34+E36+E38</f>
        <v>1525.5000000000002</v>
      </c>
      <c r="F40" s="717">
        <f t="shared" si="34"/>
        <v>177.00000000000003</v>
      </c>
      <c r="G40" s="717">
        <f t="shared" si="34"/>
        <v>6.3</v>
      </c>
      <c r="H40" s="718">
        <f>H10+H18+H20+H27+H29+H32+H34+H38+H36</f>
        <v>1643.4537475100001</v>
      </c>
      <c r="I40" s="718">
        <f t="shared" ref="I40:W40" si="35">I10+I18+I20+I27+I29+I32+I34+I38+I36</f>
        <v>1505.8830120299999</v>
      </c>
      <c r="J40" s="718">
        <f t="shared" si="35"/>
        <v>133.51243491000002</v>
      </c>
      <c r="K40" s="718">
        <f t="shared" si="35"/>
        <v>4.0583005699999992</v>
      </c>
      <c r="L40" s="718">
        <f t="shared" si="35"/>
        <v>1780.9695000000002</v>
      </c>
      <c r="M40" s="718">
        <f t="shared" si="35"/>
        <v>1629.6597999999999</v>
      </c>
      <c r="N40" s="718">
        <f t="shared" si="35"/>
        <v>146.66269999999997</v>
      </c>
      <c r="O40" s="718">
        <f t="shared" si="35"/>
        <v>4.6470000000000002</v>
      </c>
      <c r="P40" s="718">
        <f t="shared" si="35"/>
        <v>1868.9130479810003</v>
      </c>
      <c r="Q40" s="718">
        <f t="shared" si="35"/>
        <v>1701.35236687</v>
      </c>
      <c r="R40" s="718">
        <f t="shared" si="35"/>
        <v>164.33048885000002</v>
      </c>
      <c r="S40" s="718">
        <f t="shared" si="35"/>
        <v>3.2301922610000005</v>
      </c>
      <c r="T40" s="718">
        <f t="shared" si="35"/>
        <v>1990.6999999999996</v>
      </c>
      <c r="U40" s="718">
        <f t="shared" si="35"/>
        <v>1820.3000000000002</v>
      </c>
      <c r="V40" s="718">
        <f t="shared" si="35"/>
        <v>166.90000000000003</v>
      </c>
      <c r="W40" s="718">
        <f t="shared" si="35"/>
        <v>3.5000000000000004</v>
      </c>
      <c r="X40" s="719">
        <f t="shared" si="4"/>
        <v>121.78695201899927</v>
      </c>
      <c r="Y40" s="719">
        <f t="shared" si="4"/>
        <v>118.94763313000021</v>
      </c>
      <c r="Z40" s="719">
        <f t="shared" si="4"/>
        <v>2.569511150000011</v>
      </c>
      <c r="AA40" s="720">
        <f t="shared" si="4"/>
        <v>0.26980773899999999</v>
      </c>
    </row>
    <row r="41" spans="1:103" ht="13.8" thickTop="1" x14ac:dyDescent="0.25"/>
    <row r="43" spans="1:103" x14ac:dyDescent="0.25">
      <c r="K43" s="675" t="s">
        <v>140</v>
      </c>
      <c r="L43" s="675">
        <f>L41/H40*100</f>
        <v>0</v>
      </c>
    </row>
    <row r="44" spans="1:103" x14ac:dyDescent="0.25">
      <c r="K44" s="675" t="s">
        <v>1208</v>
      </c>
      <c r="L44" s="675">
        <f>H40*L42/100</f>
        <v>0</v>
      </c>
    </row>
  </sheetData>
  <mergeCells count="23">
    <mergeCell ref="Z1:AA1"/>
    <mergeCell ref="A3:AA3"/>
    <mergeCell ref="A5:A7"/>
    <mergeCell ref="B5:B7"/>
    <mergeCell ref="C5:C7"/>
    <mergeCell ref="D5:G5"/>
    <mergeCell ref="H5:K5"/>
    <mergeCell ref="L5:O5"/>
    <mergeCell ref="P5:S5"/>
    <mergeCell ref="T5:W5"/>
    <mergeCell ref="U6:W6"/>
    <mergeCell ref="X6:X7"/>
    <mergeCell ref="Y6:AA6"/>
    <mergeCell ref="X5:AA5"/>
    <mergeCell ref="D6:D7"/>
    <mergeCell ref="E6:G6"/>
    <mergeCell ref="Q6:S6"/>
    <mergeCell ref="T6:T7"/>
    <mergeCell ref="H6:H7"/>
    <mergeCell ref="I6:K6"/>
    <mergeCell ref="L6:L7"/>
    <mergeCell ref="M6:O6"/>
    <mergeCell ref="P6:P7"/>
  </mergeCells>
  <pageMargins left="0.39370078740157483" right="0.39370078740157483" top="0.74803149606299213" bottom="0.74803149606299213" header="0.31496062992125984" footer="0.31496062992125984"/>
  <pageSetup paperSize="9" scale="87" fitToHeight="0"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46"/>
  <sheetViews>
    <sheetView zoomScaleNormal="100" workbookViewId="0">
      <selection activeCell="A8" sqref="A8"/>
    </sheetView>
  </sheetViews>
  <sheetFormatPr defaultColWidth="8.88671875" defaultRowHeight="13.2" x14ac:dyDescent="0.25"/>
  <cols>
    <col min="1" max="1" width="36" style="810" customWidth="1"/>
    <col min="2" max="2" width="7.5546875" style="811" customWidth="1"/>
    <col min="3" max="4" width="15.44140625" style="810" hidden="1" customWidth="1"/>
    <col min="5" max="6" width="12.6640625" style="810" hidden="1" customWidth="1"/>
    <col min="7" max="7" width="14.109375" style="810" hidden="1" customWidth="1"/>
    <col min="8" max="8" width="12.44140625" style="812" hidden="1" customWidth="1"/>
    <col min="9" max="9" width="12.88671875" style="810" bestFit="1" customWidth="1"/>
    <col min="10" max="10" width="12.88671875" style="810" customWidth="1"/>
    <col min="11" max="11" width="11.6640625" style="810" bestFit="1" customWidth="1"/>
    <col min="12" max="12" width="12" style="810" customWidth="1"/>
    <col min="13" max="13" width="10.6640625" style="810" customWidth="1"/>
    <col min="14" max="14" width="11.6640625" style="814" hidden="1" customWidth="1"/>
    <col min="15" max="15" width="12.88671875" style="810" bestFit="1" customWidth="1"/>
    <col min="16" max="16" width="12.88671875" style="810" customWidth="1"/>
    <col min="17" max="17" width="11.6640625" style="810" bestFit="1" customWidth="1"/>
    <col min="18" max="18" width="12" style="810" customWidth="1"/>
    <col min="19" max="19" width="10.6640625" style="810" customWidth="1"/>
    <col min="20" max="20" width="11.6640625" style="814" customWidth="1"/>
    <col min="21" max="21" width="9.6640625" style="810" bestFit="1" customWidth="1"/>
    <col min="22" max="22" width="10.33203125" style="810" customWidth="1"/>
    <col min="23" max="23" width="11.33203125" style="810" customWidth="1"/>
    <col min="24" max="16384" width="8.88671875" style="810"/>
  </cols>
  <sheetData>
    <row r="1" spans="1:23" ht="13.5" customHeight="1" x14ac:dyDescent="0.25">
      <c r="M1" s="813"/>
      <c r="T1" s="960" t="s">
        <v>2460</v>
      </c>
    </row>
    <row r="3" spans="1:23" ht="13.95" customHeight="1" x14ac:dyDescent="0.25">
      <c r="A3" s="1081" t="s">
        <v>2461</v>
      </c>
      <c r="B3" s="1081"/>
      <c r="C3" s="1081"/>
      <c r="D3" s="1081"/>
      <c r="E3" s="1081"/>
      <c r="F3" s="1081"/>
      <c r="G3" s="1081"/>
      <c r="H3" s="1081"/>
      <c r="I3" s="1081"/>
      <c r="J3" s="1081"/>
      <c r="K3" s="1081"/>
      <c r="L3" s="1081"/>
      <c r="M3" s="1081"/>
      <c r="N3" s="1081"/>
      <c r="O3" s="1081"/>
      <c r="P3" s="1081"/>
      <c r="Q3" s="1081"/>
      <c r="R3" s="1081"/>
      <c r="S3" s="1081"/>
      <c r="T3" s="1081"/>
    </row>
    <row r="4" spans="1:23" ht="13.95" customHeight="1" thickBot="1" x14ac:dyDescent="0.3">
      <c r="A4" s="815"/>
      <c r="B4" s="815"/>
      <c r="C4" s="815"/>
      <c r="D4" s="815"/>
      <c r="E4" s="815"/>
      <c r="F4" s="815"/>
      <c r="G4" s="815"/>
      <c r="H4" s="816"/>
      <c r="I4" s="815"/>
      <c r="J4" s="815"/>
      <c r="K4" s="815"/>
      <c r="L4" s="815"/>
      <c r="M4" s="815"/>
      <c r="O4" s="815"/>
      <c r="P4" s="815"/>
      <c r="Q4" s="815"/>
      <c r="R4" s="815"/>
      <c r="S4" s="815"/>
      <c r="T4" s="817" t="s">
        <v>713</v>
      </c>
    </row>
    <row r="5" spans="1:23" ht="13.8" thickTop="1" x14ac:dyDescent="0.25">
      <c r="A5" s="1082" t="s">
        <v>311</v>
      </c>
      <c r="B5" s="1084" t="s">
        <v>1340</v>
      </c>
      <c r="C5" s="1086" t="s">
        <v>1341</v>
      </c>
      <c r="D5" s="1086"/>
      <c r="E5" s="1086"/>
      <c r="F5" s="1086"/>
      <c r="G5" s="1086"/>
      <c r="H5" s="818"/>
      <c r="I5" s="1087" t="s">
        <v>666</v>
      </c>
      <c r="J5" s="1088"/>
      <c r="K5" s="1088"/>
      <c r="L5" s="1088"/>
      <c r="M5" s="1088"/>
      <c r="N5" s="1089"/>
      <c r="O5" s="1087" t="s">
        <v>584</v>
      </c>
      <c r="P5" s="1088"/>
      <c r="Q5" s="1088"/>
      <c r="R5" s="1088"/>
      <c r="S5" s="1088"/>
      <c r="T5" s="1089"/>
    </row>
    <row r="6" spans="1:23" ht="13.2" customHeight="1" x14ac:dyDescent="0.25">
      <c r="A6" s="1083"/>
      <c r="B6" s="1085"/>
      <c r="C6" s="1076" t="s">
        <v>1342</v>
      </c>
      <c r="D6" s="1078" t="s">
        <v>1343</v>
      </c>
      <c r="E6" s="1076" t="s">
        <v>1344</v>
      </c>
      <c r="F6" s="1076" t="s">
        <v>1345</v>
      </c>
      <c r="G6" s="1077"/>
      <c r="H6" s="1075" t="s">
        <v>1346</v>
      </c>
      <c r="I6" s="1076" t="s">
        <v>1347</v>
      </c>
      <c r="J6" s="1078" t="s">
        <v>1348</v>
      </c>
      <c r="K6" s="1076" t="s">
        <v>1349</v>
      </c>
      <c r="L6" s="1076" t="s">
        <v>1350</v>
      </c>
      <c r="M6" s="1077"/>
      <c r="N6" s="1080" t="s">
        <v>1351</v>
      </c>
      <c r="O6" s="1076" t="s">
        <v>1352</v>
      </c>
      <c r="P6" s="1078" t="s">
        <v>1353</v>
      </c>
      <c r="Q6" s="1076" t="s">
        <v>1354</v>
      </c>
      <c r="R6" s="1076" t="s">
        <v>1350</v>
      </c>
      <c r="S6" s="1077"/>
      <c r="T6" s="1080" t="s">
        <v>1351</v>
      </c>
    </row>
    <row r="7" spans="1:23" ht="92.4" x14ac:dyDescent="0.25">
      <c r="A7" s="1083"/>
      <c r="B7" s="1085"/>
      <c r="C7" s="1077"/>
      <c r="D7" s="1079"/>
      <c r="E7" s="1077"/>
      <c r="F7" s="819" t="s">
        <v>1355</v>
      </c>
      <c r="G7" s="819" t="s">
        <v>1356</v>
      </c>
      <c r="H7" s="1075"/>
      <c r="I7" s="1077"/>
      <c r="J7" s="1079"/>
      <c r="K7" s="1077"/>
      <c r="L7" s="819" t="s">
        <v>1357</v>
      </c>
      <c r="M7" s="819" t="s">
        <v>1358</v>
      </c>
      <c r="N7" s="1080"/>
      <c r="O7" s="1077"/>
      <c r="P7" s="1079"/>
      <c r="Q7" s="1077"/>
      <c r="R7" s="819" t="s">
        <v>1359</v>
      </c>
      <c r="S7" s="819" t="s">
        <v>1360</v>
      </c>
      <c r="T7" s="1080"/>
    </row>
    <row r="8" spans="1:23" ht="13.2" customHeight="1" x14ac:dyDescent="0.25">
      <c r="A8" s="820" t="s">
        <v>14</v>
      </c>
      <c r="B8" s="821" t="s">
        <v>1176</v>
      </c>
      <c r="C8" s="822"/>
      <c r="D8" s="823"/>
      <c r="E8" s="823"/>
      <c r="F8" s="823"/>
      <c r="G8" s="823"/>
      <c r="H8" s="824"/>
      <c r="I8" s="823">
        <v>1</v>
      </c>
      <c r="J8" s="823">
        <v>2</v>
      </c>
      <c r="K8" s="823">
        <v>3</v>
      </c>
      <c r="L8" s="823">
        <v>4</v>
      </c>
      <c r="M8" s="823">
        <v>5</v>
      </c>
      <c r="N8" s="825"/>
      <c r="O8" s="823">
        <v>6</v>
      </c>
      <c r="P8" s="823">
        <v>7</v>
      </c>
      <c r="Q8" s="823">
        <v>8</v>
      </c>
      <c r="R8" s="823">
        <v>9</v>
      </c>
      <c r="S8" s="823">
        <v>10</v>
      </c>
      <c r="T8" s="826" t="s">
        <v>193</v>
      </c>
    </row>
    <row r="9" spans="1:23" ht="26.4" x14ac:dyDescent="0.25">
      <c r="A9" s="827" t="s">
        <v>1361</v>
      </c>
      <c r="B9" s="821"/>
      <c r="C9" s="822" t="e">
        <f>C11+C14+C19+C29+C35+C39+C44+C46+C51+C57+C61+#REF!+C67+C69+C71+C81+#REF!+C86+C90+C93+C96+#REF!+#REF!-0.3</f>
        <v>#REF!</v>
      </c>
      <c r="D9" s="822" t="e">
        <f>D11+D14+D19+D29+D35+D39+D44+D46+D51+D57+D61+#REF!+D67+D69+D71+D81+#REF!+D86+D90+D93+D96+#REF!+#REF!-0.2</f>
        <v>#REF!</v>
      </c>
      <c r="E9" s="822" t="e">
        <f>E11+E14+E19+E29+E35+E39+E44+E46+E51+E57+E61+#REF!+E67+E69+E71+E81+#REF!+E86+E90+E93+E96+#REF!+#REF!-0.2</f>
        <v>#REF!</v>
      </c>
      <c r="F9" s="822" t="e">
        <f>E9/C9*100</f>
        <v>#REF!</v>
      </c>
      <c r="G9" s="822" t="e">
        <f>E9/D9*100</f>
        <v>#REF!</v>
      </c>
      <c r="H9" s="822" t="e">
        <f>H11+H14+H19+H29+H35+H39+H44+H46+H51+H57+H61+#REF!+H67+H69+H71+H81+#REF!+H86+H90+H93+H96+#REF!+#REF!</f>
        <v>#REF!</v>
      </c>
      <c r="I9" s="822">
        <f>I11+I14+I19+I29+I35+I39+I44+I46+I51+I57+I61+I67+I69+I71+I81+I86+I90+I93+I96</f>
        <v>88303.730433739998</v>
      </c>
      <c r="J9" s="822">
        <f t="shared" ref="J9:K9" si="0">J11+J14+J19+J29+J35+J39+J44+J46+J51+J57+J61+J67+J69+J71+J81+J86+J90+J93+J96</f>
        <v>84988.749999999985</v>
      </c>
      <c r="K9" s="822">
        <f t="shared" si="0"/>
        <v>84674.77009999998</v>
      </c>
      <c r="L9" s="822">
        <f>K9/I9*100</f>
        <v>95.890365768337432</v>
      </c>
      <c r="M9" s="822">
        <f>K9/J9*100</f>
        <v>99.630562986277596</v>
      </c>
      <c r="N9" s="825" t="s">
        <v>105</v>
      </c>
      <c r="O9" s="822">
        <f>O11+O14+O19+O29+O35+O39+O44+O46+O51+O57+O61+O67+O69+O71+O73+O81+O86+O90+O93+O96++O100+O109+O114-0.3</f>
        <v>112809.99999999999</v>
      </c>
      <c r="P9" s="822">
        <f t="shared" ref="P9" si="1">P11+P14+P19+P29+P35+P39+P44+P46+P51+P57+P61+P67+P69+P71+P73+P81+P86+P90+P93+P96++P100+P109+P114</f>
        <v>109919.39999999998</v>
      </c>
      <c r="Q9" s="822">
        <f>Q11+Q14+Q19+Q29+Q35+Q39+Q44+Q46+Q51+Q57+Q61+Q67+Q69+Q71+Q73+Q81+Q86+Q90+Q93+Q96++Q100+Q109+Q114-0.1</f>
        <v>109378.59999999998</v>
      </c>
      <c r="R9" s="822">
        <f>Q9/O9*100</f>
        <v>96.95824838223561</v>
      </c>
      <c r="S9" s="822">
        <f>Q9/P9*100</f>
        <v>99.508003136843897</v>
      </c>
      <c r="T9" s="826" t="s">
        <v>105</v>
      </c>
    </row>
    <row r="10" spans="1:23" x14ac:dyDescent="0.25">
      <c r="A10" s="828" t="s">
        <v>1021</v>
      </c>
      <c r="B10" s="829"/>
      <c r="C10" s="830"/>
      <c r="D10" s="830"/>
      <c r="E10" s="830"/>
      <c r="F10" s="831"/>
      <c r="G10" s="830"/>
      <c r="H10" s="832"/>
      <c r="I10" s="830"/>
      <c r="J10" s="830"/>
      <c r="K10" s="830"/>
      <c r="L10" s="831"/>
      <c r="M10" s="830"/>
      <c r="N10" s="825"/>
      <c r="O10" s="830"/>
      <c r="P10" s="830"/>
      <c r="Q10" s="830"/>
      <c r="R10" s="831"/>
      <c r="S10" s="830"/>
      <c r="T10" s="825"/>
      <c r="U10" s="833"/>
      <c r="V10" s="833"/>
      <c r="W10" s="833"/>
    </row>
    <row r="11" spans="1:23" ht="52.8" x14ac:dyDescent="0.25">
      <c r="A11" s="834" t="s">
        <v>815</v>
      </c>
      <c r="B11" s="835"/>
      <c r="C11" s="836">
        <f>C12+C13</f>
        <v>15364.199999999999</v>
      </c>
      <c r="D11" s="836">
        <f t="shared" ref="D11" si="2">D12+D13</f>
        <v>15362.8</v>
      </c>
      <c r="E11" s="836">
        <f>E12+E13</f>
        <v>15315.399999999998</v>
      </c>
      <c r="F11" s="836">
        <f t="shared" ref="F11:F28" si="3">E11/C11*100</f>
        <v>99.682378516291109</v>
      </c>
      <c r="G11" s="836">
        <f t="shared" ref="G11:G28" si="4">E11/D11*100</f>
        <v>99.691462493816218</v>
      </c>
      <c r="H11" s="837">
        <f>16693</f>
        <v>16693</v>
      </c>
      <c r="I11" s="836">
        <f>I12+I13</f>
        <v>18127.899999999998</v>
      </c>
      <c r="J11" s="836">
        <f t="shared" ref="J11" si="5">J12+J13</f>
        <v>18121.3</v>
      </c>
      <c r="K11" s="836">
        <f>K12+K13</f>
        <v>18062.3122</v>
      </c>
      <c r="L11" s="836">
        <f t="shared" ref="L11:L21" si="6">K11/I11*100</f>
        <v>99.638194164795706</v>
      </c>
      <c r="M11" s="836">
        <f t="shared" ref="M11:M21" si="7">K11/J11*100</f>
        <v>99.674483618724935</v>
      </c>
      <c r="N11" s="838" t="s">
        <v>1362</v>
      </c>
      <c r="O11" s="836">
        <f>O12+O13</f>
        <v>25386.3</v>
      </c>
      <c r="P11" s="836">
        <f t="shared" ref="P11" si="8">P12+P13</f>
        <v>24956.5</v>
      </c>
      <c r="Q11" s="836">
        <f>Q12+Q13</f>
        <v>24727.7</v>
      </c>
      <c r="R11" s="836">
        <f t="shared" ref="R11:R22" si="9">Q11/O11*100</f>
        <v>97.405687319538487</v>
      </c>
      <c r="S11" s="836">
        <f t="shared" ref="S11:S22" si="10">Q11/P11*100</f>
        <v>99.083204776310779</v>
      </c>
      <c r="T11" s="838" t="s">
        <v>1363</v>
      </c>
    </row>
    <row r="12" spans="1:23" x14ac:dyDescent="0.25">
      <c r="A12" s="839" t="s">
        <v>1050</v>
      </c>
      <c r="B12" s="840">
        <v>19</v>
      </c>
      <c r="C12" s="841">
        <v>142.6</v>
      </c>
      <c r="D12" s="841">
        <v>141.30000000000001</v>
      </c>
      <c r="E12" s="841">
        <v>141.30000000000001</v>
      </c>
      <c r="F12" s="842">
        <f t="shared" si="3"/>
        <v>99.08835904628333</v>
      </c>
      <c r="G12" s="843">
        <f t="shared" si="4"/>
        <v>100</v>
      </c>
      <c r="H12" s="841"/>
      <c r="I12" s="841">
        <v>144.6</v>
      </c>
      <c r="J12" s="841">
        <v>138</v>
      </c>
      <c r="K12" s="841">
        <v>137.96979999999999</v>
      </c>
      <c r="L12" s="842">
        <f t="shared" si="6"/>
        <v>95.414799446749655</v>
      </c>
      <c r="M12" s="843">
        <f t="shared" si="7"/>
        <v>99.978115942028978</v>
      </c>
      <c r="N12" s="1069" t="s">
        <v>1364</v>
      </c>
      <c r="O12" s="841">
        <v>979.2</v>
      </c>
      <c r="P12" s="841">
        <v>549.4</v>
      </c>
      <c r="Q12" s="841">
        <v>543.4</v>
      </c>
      <c r="R12" s="842">
        <f t="shared" si="9"/>
        <v>55.494281045751627</v>
      </c>
      <c r="S12" s="843">
        <f t="shared" si="10"/>
        <v>98.907899526756466</v>
      </c>
      <c r="T12" s="1069" t="s">
        <v>105</v>
      </c>
    </row>
    <row r="13" spans="1:23" x14ac:dyDescent="0.25">
      <c r="A13" s="839" t="s">
        <v>1105</v>
      </c>
      <c r="B13" s="840">
        <v>62</v>
      </c>
      <c r="C13" s="841">
        <f>15216.8+4.8</f>
        <v>15221.599999999999</v>
      </c>
      <c r="D13" s="841">
        <f>15216.7+4.8</f>
        <v>15221.5</v>
      </c>
      <c r="E13" s="841">
        <f>15169.3+4.8</f>
        <v>15174.099999999999</v>
      </c>
      <c r="F13" s="842">
        <f t="shared" si="3"/>
        <v>99.687943448783315</v>
      </c>
      <c r="G13" s="843">
        <f t="shared" si="4"/>
        <v>99.688598364155951</v>
      </c>
      <c r="H13" s="841"/>
      <c r="I13" s="841">
        <f>17816.7+166.6</f>
        <v>17983.3</v>
      </c>
      <c r="J13" s="841">
        <v>17983.3</v>
      </c>
      <c r="K13" s="841">
        <f>17757.7779+166.5645</f>
        <v>17924.342400000001</v>
      </c>
      <c r="L13" s="842">
        <f t="shared" si="6"/>
        <v>99.672153609181862</v>
      </c>
      <c r="M13" s="843">
        <f t="shared" si="7"/>
        <v>99.672153609181862</v>
      </c>
      <c r="N13" s="1071"/>
      <c r="O13" s="841">
        <v>24407.1</v>
      </c>
      <c r="P13" s="841">
        <v>24407.1</v>
      </c>
      <c r="Q13" s="841">
        <v>24184.3</v>
      </c>
      <c r="R13" s="842">
        <f t="shared" si="9"/>
        <v>99.087150870033724</v>
      </c>
      <c r="S13" s="843">
        <f t="shared" si="10"/>
        <v>99.087150870033724</v>
      </c>
      <c r="T13" s="1071"/>
    </row>
    <row r="14" spans="1:23" ht="52.8" x14ac:dyDescent="0.25">
      <c r="A14" s="834" t="s">
        <v>725</v>
      </c>
      <c r="B14" s="835"/>
      <c r="C14" s="836">
        <f>C15+C17</f>
        <v>20952.7</v>
      </c>
      <c r="D14" s="836">
        <f t="shared" ref="D14" si="11">D15+D17</f>
        <v>20426.900000000001</v>
      </c>
      <c r="E14" s="836">
        <f>E15+E17</f>
        <v>20371</v>
      </c>
      <c r="F14" s="836">
        <f t="shared" si="3"/>
        <v>97.223746820218864</v>
      </c>
      <c r="G14" s="836">
        <f t="shared" si="4"/>
        <v>99.726341246101953</v>
      </c>
      <c r="H14" s="837">
        <v>24120.1</v>
      </c>
      <c r="I14" s="836">
        <f>I15+I17</f>
        <v>24552.400000000001</v>
      </c>
      <c r="J14" s="836">
        <f t="shared" ref="J14" si="12">J15+J17</f>
        <v>22696.7</v>
      </c>
      <c r="K14" s="836">
        <f>K15+K17</f>
        <v>22594.581899999997</v>
      </c>
      <c r="L14" s="836">
        <f t="shared" si="6"/>
        <v>92.02596039491047</v>
      </c>
      <c r="M14" s="836">
        <f t="shared" si="7"/>
        <v>99.550075121052828</v>
      </c>
      <c r="N14" s="838">
        <v>83.1</v>
      </c>
      <c r="O14" s="836">
        <f>O15+O17+O16+O18-0.1</f>
        <v>27271.4</v>
      </c>
      <c r="P14" s="836">
        <f>P15+P17+P16+P18-0.1</f>
        <v>26364.400000000001</v>
      </c>
      <c r="Q14" s="836">
        <f t="shared" ref="Q14" si="13">Q15+Q17+Q16+Q18</f>
        <v>26269.599999999999</v>
      </c>
      <c r="R14" s="836">
        <f t="shared" si="9"/>
        <v>96.326554558988533</v>
      </c>
      <c r="S14" s="836">
        <f t="shared" si="10"/>
        <v>99.640424208402223</v>
      </c>
      <c r="T14" s="838" t="s">
        <v>1365</v>
      </c>
    </row>
    <row r="15" spans="1:23" x14ac:dyDescent="0.25">
      <c r="A15" s="839" t="s">
        <v>1050</v>
      </c>
      <c r="B15" s="840">
        <v>19</v>
      </c>
      <c r="C15" s="841">
        <v>1129.3</v>
      </c>
      <c r="D15" s="841">
        <v>603.6</v>
      </c>
      <c r="E15" s="841">
        <v>588</v>
      </c>
      <c r="F15" s="842">
        <f t="shared" si="3"/>
        <v>52.067652528114763</v>
      </c>
      <c r="G15" s="843">
        <f t="shared" si="4"/>
        <v>97.415506958250504</v>
      </c>
      <c r="H15" s="841"/>
      <c r="I15" s="841">
        <v>2986.9</v>
      </c>
      <c r="J15" s="841">
        <v>1131.8</v>
      </c>
      <c r="K15" s="841">
        <v>1091.9468999999999</v>
      </c>
      <c r="L15" s="842">
        <f t="shared" si="6"/>
        <v>36.557866014931868</v>
      </c>
      <c r="M15" s="843">
        <f t="shared" si="7"/>
        <v>96.478786004594454</v>
      </c>
      <c r="N15" s="1069" t="s">
        <v>1364</v>
      </c>
      <c r="O15" s="841">
        <v>3211</v>
      </c>
      <c r="P15" s="841">
        <v>2346.5</v>
      </c>
      <c r="Q15" s="841">
        <v>2346.5</v>
      </c>
      <c r="R15" s="842">
        <f t="shared" si="9"/>
        <v>73.076923076923066</v>
      </c>
      <c r="S15" s="843">
        <f t="shared" si="10"/>
        <v>100</v>
      </c>
      <c r="T15" s="1069" t="s">
        <v>105</v>
      </c>
    </row>
    <row r="16" spans="1:23" x14ac:dyDescent="0.25">
      <c r="A16" s="839" t="s">
        <v>1091</v>
      </c>
      <c r="B16" s="840">
        <v>69</v>
      </c>
      <c r="C16" s="841"/>
      <c r="D16" s="841"/>
      <c r="E16" s="841"/>
      <c r="F16" s="842"/>
      <c r="G16" s="843"/>
      <c r="H16" s="841"/>
      <c r="I16" s="841">
        <v>0</v>
      </c>
      <c r="J16" s="841">
        <v>0</v>
      </c>
      <c r="K16" s="841">
        <v>0</v>
      </c>
      <c r="L16" s="842">
        <v>0</v>
      </c>
      <c r="M16" s="843">
        <v>0</v>
      </c>
      <c r="N16" s="1070"/>
      <c r="O16" s="841">
        <v>3.1</v>
      </c>
      <c r="P16" s="841">
        <v>3.1</v>
      </c>
      <c r="Q16" s="841">
        <v>3.1</v>
      </c>
      <c r="R16" s="842">
        <f t="shared" si="9"/>
        <v>100</v>
      </c>
      <c r="S16" s="843">
        <f t="shared" si="10"/>
        <v>100</v>
      </c>
      <c r="T16" s="1070"/>
    </row>
    <row r="17" spans="1:20" x14ac:dyDescent="0.25">
      <c r="A17" s="839" t="s">
        <v>1079</v>
      </c>
      <c r="B17" s="840">
        <v>75</v>
      </c>
      <c r="C17" s="841">
        <f>19288+535.4</f>
        <v>19823.400000000001</v>
      </c>
      <c r="D17" s="841">
        <f>19287.9+535.4</f>
        <v>19823.300000000003</v>
      </c>
      <c r="E17" s="841">
        <f>19258.5+524.5</f>
        <v>19783</v>
      </c>
      <c r="F17" s="842">
        <f t="shared" si="3"/>
        <v>99.796200449973256</v>
      </c>
      <c r="G17" s="843">
        <f t="shared" si="4"/>
        <v>99.796703878768909</v>
      </c>
      <c r="H17" s="841"/>
      <c r="I17" s="841">
        <f>21565.5</f>
        <v>21565.5</v>
      </c>
      <c r="J17" s="841">
        <v>21564.9</v>
      </c>
      <c r="K17" s="841">
        <v>21502.634999999998</v>
      </c>
      <c r="L17" s="842">
        <f t="shared" si="6"/>
        <v>99.708492731446057</v>
      </c>
      <c r="M17" s="843">
        <f t="shared" si="7"/>
        <v>99.711266919855873</v>
      </c>
      <c r="N17" s="1070"/>
      <c r="O17" s="841">
        <v>24052.2</v>
      </c>
      <c r="P17" s="841">
        <v>24009.7</v>
      </c>
      <c r="Q17" s="841">
        <v>23914.799999999999</v>
      </c>
      <c r="R17" s="842">
        <f t="shared" si="9"/>
        <v>99.428742485094915</v>
      </c>
      <c r="S17" s="843">
        <f t="shared" si="10"/>
        <v>99.604743083003939</v>
      </c>
      <c r="T17" s="1070"/>
    </row>
    <row r="18" spans="1:20" x14ac:dyDescent="0.25">
      <c r="A18" s="839" t="s">
        <v>1033</v>
      </c>
      <c r="B18" s="840">
        <v>104</v>
      </c>
      <c r="C18" s="841"/>
      <c r="D18" s="841"/>
      <c r="E18" s="841"/>
      <c r="F18" s="842"/>
      <c r="G18" s="843"/>
      <c r="H18" s="841"/>
      <c r="I18" s="841">
        <v>0</v>
      </c>
      <c r="J18" s="841">
        <v>0</v>
      </c>
      <c r="K18" s="841">
        <v>0</v>
      </c>
      <c r="L18" s="842">
        <v>0</v>
      </c>
      <c r="M18" s="843">
        <v>0</v>
      </c>
      <c r="N18" s="1071"/>
      <c r="O18" s="841">
        <v>5.2</v>
      </c>
      <c r="P18" s="841">
        <v>5.2</v>
      </c>
      <c r="Q18" s="841">
        <v>5.2</v>
      </c>
      <c r="R18" s="842">
        <f t="shared" si="9"/>
        <v>100</v>
      </c>
      <c r="S18" s="843">
        <f t="shared" si="10"/>
        <v>100</v>
      </c>
      <c r="T18" s="1071"/>
    </row>
    <row r="19" spans="1:20" ht="52.8" x14ac:dyDescent="0.25">
      <c r="A19" s="834" t="s">
        <v>763</v>
      </c>
      <c r="B19" s="835"/>
      <c r="C19" s="836">
        <f>C20+C21+C23+C24+C25+C26+C22+C28+C27</f>
        <v>11594.7</v>
      </c>
      <c r="D19" s="836">
        <f>D20+D21+D23+D24+D25+D26+D22+D28+D27-0.1</f>
        <v>11436.6</v>
      </c>
      <c r="E19" s="836">
        <f>E20+E21+E23+E24+E25+E26+E22+E28+E27</f>
        <v>11433</v>
      </c>
      <c r="F19" s="836">
        <f t="shared" si="3"/>
        <v>98.605397293591039</v>
      </c>
      <c r="G19" s="836">
        <f t="shared" si="4"/>
        <v>99.968522113215457</v>
      </c>
      <c r="H19" s="837">
        <v>12202.3</v>
      </c>
      <c r="I19" s="836">
        <f>I20+I21+I23+I24+I25+I26</f>
        <v>12360.01</v>
      </c>
      <c r="J19" s="836">
        <f t="shared" ref="J19:K19" si="14">J20+J21+J23+J24+J25+J26</f>
        <v>12203.9</v>
      </c>
      <c r="K19" s="836">
        <f t="shared" si="14"/>
        <v>12194.7876</v>
      </c>
      <c r="L19" s="836">
        <f t="shared" si="6"/>
        <v>98.663250272451236</v>
      </c>
      <c r="M19" s="836">
        <f t="shared" si="7"/>
        <v>99.925332065978907</v>
      </c>
      <c r="N19" s="838" t="s">
        <v>1366</v>
      </c>
      <c r="O19" s="836">
        <f>O20+O21+O23+O24+O25+O26+O27+O28+O22</f>
        <v>15862</v>
      </c>
      <c r="P19" s="836">
        <f>P20+P21+P23+P24+P25+P26+P27+P28+P22-0.1</f>
        <v>15523.8</v>
      </c>
      <c r="Q19" s="836">
        <f>Q20+Q21+Q23+Q24+Q25+Q26+Q27+Q28+Q22-0.1</f>
        <v>15520</v>
      </c>
      <c r="R19" s="836">
        <f t="shared" si="9"/>
        <v>97.843903669146385</v>
      </c>
      <c r="S19" s="836">
        <f t="shared" si="10"/>
        <v>99.975521457375123</v>
      </c>
      <c r="T19" s="838" t="s">
        <v>1367</v>
      </c>
    </row>
    <row r="20" spans="1:20" x14ac:dyDescent="0.25">
      <c r="A20" s="839" t="s">
        <v>1050</v>
      </c>
      <c r="B20" s="840">
        <v>19</v>
      </c>
      <c r="C20" s="841">
        <v>0.7</v>
      </c>
      <c r="D20" s="841">
        <v>0.7</v>
      </c>
      <c r="E20" s="841">
        <v>0.7</v>
      </c>
      <c r="F20" s="842">
        <f t="shared" si="3"/>
        <v>100</v>
      </c>
      <c r="G20" s="843">
        <f t="shared" si="4"/>
        <v>100</v>
      </c>
      <c r="H20" s="841"/>
      <c r="I20" s="841">
        <f>0.8</f>
        <v>0.8</v>
      </c>
      <c r="J20" s="841">
        <v>0.8</v>
      </c>
      <c r="K20" s="841">
        <v>0.80889999999999995</v>
      </c>
      <c r="L20" s="842">
        <f t="shared" si="6"/>
        <v>101.11249999999998</v>
      </c>
      <c r="M20" s="843">
        <f t="shared" si="7"/>
        <v>101.11249999999998</v>
      </c>
      <c r="N20" s="1069" t="s">
        <v>1364</v>
      </c>
      <c r="O20" s="841">
        <v>1.6</v>
      </c>
      <c r="P20" s="841">
        <v>1.6</v>
      </c>
      <c r="Q20" s="841">
        <v>1.6</v>
      </c>
      <c r="R20" s="842">
        <f t="shared" si="9"/>
        <v>100</v>
      </c>
      <c r="S20" s="843">
        <f t="shared" si="10"/>
        <v>100</v>
      </c>
      <c r="T20" s="1069" t="s">
        <v>105</v>
      </c>
    </row>
    <row r="21" spans="1:20" x14ac:dyDescent="0.25">
      <c r="A21" s="839" t="s">
        <v>1105</v>
      </c>
      <c r="B21" s="840">
        <v>62</v>
      </c>
      <c r="C21" s="841">
        <v>3.2</v>
      </c>
      <c r="D21" s="841">
        <v>3.2</v>
      </c>
      <c r="E21" s="841">
        <v>3.2</v>
      </c>
      <c r="F21" s="842">
        <f t="shared" si="3"/>
        <v>100</v>
      </c>
      <c r="G21" s="843">
        <f t="shared" si="4"/>
        <v>100</v>
      </c>
      <c r="H21" s="841"/>
      <c r="I21" s="841">
        <f>5000000/1000000</f>
        <v>5</v>
      </c>
      <c r="J21" s="841">
        <v>5</v>
      </c>
      <c r="K21" s="841">
        <v>5</v>
      </c>
      <c r="L21" s="842">
        <f t="shared" si="6"/>
        <v>100</v>
      </c>
      <c r="M21" s="843">
        <f t="shared" si="7"/>
        <v>100</v>
      </c>
      <c r="N21" s="1070"/>
      <c r="O21" s="841">
        <v>8</v>
      </c>
      <c r="P21" s="841">
        <v>8</v>
      </c>
      <c r="Q21" s="841">
        <v>8</v>
      </c>
      <c r="R21" s="842">
        <f t="shared" si="9"/>
        <v>100</v>
      </c>
      <c r="S21" s="843">
        <f t="shared" si="10"/>
        <v>100</v>
      </c>
      <c r="T21" s="1070"/>
    </row>
    <row r="22" spans="1:20" x14ac:dyDescent="0.25">
      <c r="A22" s="839" t="s">
        <v>1091</v>
      </c>
      <c r="B22" s="840">
        <v>69</v>
      </c>
      <c r="C22" s="841">
        <v>1.8</v>
      </c>
      <c r="D22" s="841">
        <v>1.8</v>
      </c>
      <c r="E22" s="841">
        <v>1.8</v>
      </c>
      <c r="F22" s="842">
        <f t="shared" si="3"/>
        <v>100</v>
      </c>
      <c r="G22" s="843">
        <f t="shared" si="4"/>
        <v>100</v>
      </c>
      <c r="H22" s="841"/>
      <c r="I22" s="841">
        <v>0</v>
      </c>
      <c r="J22" s="841">
        <v>0</v>
      </c>
      <c r="K22" s="841">
        <v>0</v>
      </c>
      <c r="L22" s="842">
        <v>0</v>
      </c>
      <c r="M22" s="843">
        <v>0</v>
      </c>
      <c r="N22" s="1070"/>
      <c r="O22" s="841">
        <v>7.5</v>
      </c>
      <c r="P22" s="841">
        <v>7.5</v>
      </c>
      <c r="Q22" s="841">
        <v>7.5</v>
      </c>
      <c r="R22" s="842">
        <f t="shared" si="9"/>
        <v>100</v>
      </c>
      <c r="S22" s="843">
        <f t="shared" si="10"/>
        <v>100</v>
      </c>
      <c r="T22" s="1070"/>
    </row>
    <row r="23" spans="1:20" x14ac:dyDescent="0.25">
      <c r="A23" s="839" t="s">
        <v>1368</v>
      </c>
      <c r="B23" s="840">
        <v>72</v>
      </c>
      <c r="C23" s="841">
        <v>6.8</v>
      </c>
      <c r="D23" s="841">
        <v>6.8</v>
      </c>
      <c r="E23" s="841">
        <v>6.8</v>
      </c>
      <c r="F23" s="842">
        <f t="shared" si="3"/>
        <v>100</v>
      </c>
      <c r="G23" s="843">
        <f t="shared" si="4"/>
        <v>100</v>
      </c>
      <c r="H23" s="841"/>
      <c r="I23" s="841">
        <f>20.6</f>
        <v>20.6</v>
      </c>
      <c r="J23" s="841">
        <v>20.6</v>
      </c>
      <c r="K23" s="841">
        <f>20550000/1000000</f>
        <v>20.55</v>
      </c>
      <c r="L23" s="842">
        <f>K23/I23*100</f>
        <v>99.757281553398059</v>
      </c>
      <c r="M23" s="843">
        <f>K23/J23*100</f>
        <v>99.757281553398059</v>
      </c>
      <c r="N23" s="1070"/>
      <c r="O23" s="841">
        <v>33.799999999999997</v>
      </c>
      <c r="P23" s="841">
        <v>33.799999999999997</v>
      </c>
      <c r="Q23" s="841">
        <v>33.799999999999997</v>
      </c>
      <c r="R23" s="842">
        <f>Q23/O23*100</f>
        <v>100</v>
      </c>
      <c r="S23" s="843">
        <f>Q23/P23*100</f>
        <v>100</v>
      </c>
      <c r="T23" s="1070"/>
    </row>
    <row r="24" spans="1:20" x14ac:dyDescent="0.25">
      <c r="A24" s="839" t="s">
        <v>1079</v>
      </c>
      <c r="B24" s="840">
        <v>75</v>
      </c>
      <c r="C24" s="841">
        <v>42.2</v>
      </c>
      <c r="D24" s="841">
        <v>42.2</v>
      </c>
      <c r="E24" s="841">
        <v>42.2</v>
      </c>
      <c r="F24" s="842">
        <f t="shared" si="3"/>
        <v>100</v>
      </c>
      <c r="G24" s="843">
        <f t="shared" si="4"/>
        <v>100</v>
      </c>
      <c r="H24" s="841"/>
      <c r="I24" s="841">
        <f>44310000/1000000</f>
        <v>44.31</v>
      </c>
      <c r="J24" s="841">
        <v>44.3</v>
      </c>
      <c r="K24" s="841">
        <v>44.31</v>
      </c>
      <c r="L24" s="842">
        <f>K24/I24*100</f>
        <v>100</v>
      </c>
      <c r="M24" s="843">
        <f>K24/J24*100</f>
        <v>100.02257336343116</v>
      </c>
      <c r="N24" s="1070"/>
      <c r="O24" s="841">
        <v>5</v>
      </c>
      <c r="P24" s="841">
        <v>5</v>
      </c>
      <c r="Q24" s="841">
        <v>5</v>
      </c>
      <c r="R24" s="842">
        <f>Q24/O24*100</f>
        <v>100</v>
      </c>
      <c r="S24" s="843">
        <f>Q24/P24*100</f>
        <v>100</v>
      </c>
      <c r="T24" s="1070"/>
    </row>
    <row r="25" spans="1:20" x14ac:dyDescent="0.25">
      <c r="A25" s="839" t="s">
        <v>1033</v>
      </c>
      <c r="B25" s="840">
        <v>104</v>
      </c>
      <c r="C25" s="841">
        <v>3.1</v>
      </c>
      <c r="D25" s="841">
        <v>3</v>
      </c>
      <c r="E25" s="841">
        <v>2.9</v>
      </c>
      <c r="F25" s="842">
        <f t="shared" si="3"/>
        <v>93.548387096774192</v>
      </c>
      <c r="G25" s="843">
        <f t="shared" si="4"/>
        <v>96.666666666666671</v>
      </c>
      <c r="H25" s="841"/>
      <c r="I25" s="841">
        <f>2.9</f>
        <v>2.9</v>
      </c>
      <c r="J25" s="841">
        <v>2.9</v>
      </c>
      <c r="K25" s="841">
        <v>2.8719999999999999</v>
      </c>
      <c r="L25" s="842">
        <f>K25/I25*100</f>
        <v>99.034482758620683</v>
      </c>
      <c r="M25" s="843">
        <f>K25/J25*100</f>
        <v>99.034482758620683</v>
      </c>
      <c r="N25" s="1070"/>
      <c r="O25" s="841">
        <v>3.7</v>
      </c>
      <c r="P25" s="841">
        <v>3.5</v>
      </c>
      <c r="Q25" s="841">
        <v>3.5</v>
      </c>
      <c r="R25" s="842">
        <f>Q25/O25*100</f>
        <v>94.594594594594597</v>
      </c>
      <c r="S25" s="843">
        <f>Q25/P25*100</f>
        <v>100</v>
      </c>
      <c r="T25" s="1070"/>
    </row>
    <row r="26" spans="1:20" x14ac:dyDescent="0.25">
      <c r="A26" s="839" t="s">
        <v>1132</v>
      </c>
      <c r="B26" s="840">
        <v>156</v>
      </c>
      <c r="C26" s="841">
        <f>11524+8.6</f>
        <v>11532.6</v>
      </c>
      <c r="D26" s="841">
        <f>11366.1+8.6</f>
        <v>11374.7</v>
      </c>
      <c r="E26" s="841">
        <f>11362.5+8.6</f>
        <v>11371.1</v>
      </c>
      <c r="F26" s="842">
        <f t="shared" si="3"/>
        <v>98.599621941279509</v>
      </c>
      <c r="G26" s="843">
        <f t="shared" si="4"/>
        <v>99.968350813647831</v>
      </c>
      <c r="H26" s="841"/>
      <c r="I26" s="841">
        <v>12286.4</v>
      </c>
      <c r="J26" s="841">
        <v>12130.3</v>
      </c>
      <c r="K26" s="841">
        <v>12121.2467</v>
      </c>
      <c r="L26" s="842">
        <f>K26/I26*100</f>
        <v>98.655803978382608</v>
      </c>
      <c r="M26" s="843">
        <f>K26/J26*100</f>
        <v>99.925366231667809</v>
      </c>
      <c r="N26" s="1070"/>
      <c r="O26" s="841">
        <v>15796.4</v>
      </c>
      <c r="P26" s="841">
        <v>15458.5</v>
      </c>
      <c r="Q26" s="841">
        <v>15454.7</v>
      </c>
      <c r="R26" s="842">
        <f>Q26/O26*100</f>
        <v>97.836848902281531</v>
      </c>
      <c r="S26" s="843">
        <f>Q26/P26*100</f>
        <v>99.975418054791859</v>
      </c>
      <c r="T26" s="1070"/>
    </row>
    <row r="27" spans="1:20" x14ac:dyDescent="0.25">
      <c r="A27" s="839" t="s">
        <v>1150</v>
      </c>
      <c r="B27" s="840">
        <v>263</v>
      </c>
      <c r="C27" s="841">
        <v>3.2</v>
      </c>
      <c r="D27" s="841">
        <v>3.2</v>
      </c>
      <c r="E27" s="841">
        <v>3.2</v>
      </c>
      <c r="F27" s="842">
        <f t="shared" si="3"/>
        <v>100</v>
      </c>
      <c r="G27" s="843">
        <f t="shared" si="4"/>
        <v>100</v>
      </c>
      <c r="H27" s="841"/>
      <c r="I27" s="841">
        <v>0</v>
      </c>
      <c r="J27" s="841">
        <v>0</v>
      </c>
      <c r="K27" s="841">
        <v>0</v>
      </c>
      <c r="L27" s="842">
        <v>0</v>
      </c>
      <c r="M27" s="843">
        <v>0</v>
      </c>
      <c r="N27" s="1070"/>
      <c r="O27" s="841">
        <v>4.8</v>
      </c>
      <c r="P27" s="841">
        <v>4.8</v>
      </c>
      <c r="Q27" s="841">
        <v>4.8</v>
      </c>
      <c r="R27" s="842">
        <f t="shared" ref="R27:R82" si="15">Q27/O27*100</f>
        <v>100</v>
      </c>
      <c r="S27" s="843">
        <f t="shared" ref="S27:S28" si="16">Q27/P27*100</f>
        <v>100</v>
      </c>
      <c r="T27" s="1070"/>
    </row>
    <row r="28" spans="1:20" x14ac:dyDescent="0.25">
      <c r="A28" s="839" t="s">
        <v>1369</v>
      </c>
      <c r="B28" s="840">
        <v>301</v>
      </c>
      <c r="C28" s="841">
        <v>1.1000000000000001</v>
      </c>
      <c r="D28" s="841">
        <v>1.1000000000000001</v>
      </c>
      <c r="E28" s="841">
        <v>1.1000000000000001</v>
      </c>
      <c r="F28" s="842">
        <f t="shared" si="3"/>
        <v>100</v>
      </c>
      <c r="G28" s="843">
        <f t="shared" si="4"/>
        <v>100</v>
      </c>
      <c r="H28" s="841"/>
      <c r="I28" s="841">
        <v>0</v>
      </c>
      <c r="J28" s="841">
        <v>0</v>
      </c>
      <c r="K28" s="841">
        <v>0</v>
      </c>
      <c r="L28" s="842">
        <v>0</v>
      </c>
      <c r="M28" s="843">
        <v>0</v>
      </c>
      <c r="N28" s="1071"/>
      <c r="O28" s="841">
        <v>1.2</v>
      </c>
      <c r="P28" s="841">
        <v>1.2</v>
      </c>
      <c r="Q28" s="841">
        <v>1.2</v>
      </c>
      <c r="R28" s="842">
        <f t="shared" si="15"/>
        <v>100</v>
      </c>
      <c r="S28" s="843">
        <f t="shared" si="16"/>
        <v>100</v>
      </c>
      <c r="T28" s="1071"/>
    </row>
    <row r="29" spans="1:20" ht="39.6" x14ac:dyDescent="0.25">
      <c r="A29" s="834" t="s">
        <v>871</v>
      </c>
      <c r="B29" s="835"/>
      <c r="C29" s="836">
        <f>C30+C31+C32+C33+C34</f>
        <v>2070.8000000000002</v>
      </c>
      <c r="D29" s="836">
        <f t="shared" ref="D29:E29" si="17">D30+D31+D32+D33+D34</f>
        <v>2048.3000000000002</v>
      </c>
      <c r="E29" s="836">
        <f t="shared" si="17"/>
        <v>2041.4</v>
      </c>
      <c r="F29" s="836">
        <f>E29/C29*100</f>
        <v>98.580258837164379</v>
      </c>
      <c r="G29" s="836">
        <f>E29/D29*100</f>
        <v>99.663135282917537</v>
      </c>
      <c r="H29" s="837">
        <v>1887.6</v>
      </c>
      <c r="I29" s="836">
        <f>I30+I31+I32+I33+I34</f>
        <v>2002.5000000000002</v>
      </c>
      <c r="J29" s="836">
        <f t="shared" ref="J29:K29" si="18">J30+J31+J32+J33+J34</f>
        <v>1991.1000000000001</v>
      </c>
      <c r="K29" s="836">
        <f t="shared" si="18"/>
        <v>1990.2619</v>
      </c>
      <c r="L29" s="836">
        <f t="shared" ref="L29:L82" si="19">K29/I29*100</f>
        <v>99.388858926342067</v>
      </c>
      <c r="M29" s="836">
        <f>K29/J29*100</f>
        <v>99.957907689217009</v>
      </c>
      <c r="N29" s="838" t="s">
        <v>1370</v>
      </c>
      <c r="O29" s="836">
        <f>O30+O31+O32+O33+O34-0.1</f>
        <v>1992.7</v>
      </c>
      <c r="P29" s="836">
        <f t="shared" ref="P29:Q29" si="20">P30+P31+P32+P33+P34</f>
        <v>1991.3999999999999</v>
      </c>
      <c r="Q29" s="836">
        <f t="shared" si="20"/>
        <v>1985.6000000000001</v>
      </c>
      <c r="R29" s="836">
        <f t="shared" si="15"/>
        <v>99.643699503186639</v>
      </c>
      <c r="S29" s="836">
        <f>Q29/P29*100</f>
        <v>99.708747614743416</v>
      </c>
      <c r="T29" s="838" t="s">
        <v>1371</v>
      </c>
    </row>
    <row r="30" spans="1:20" x14ac:dyDescent="0.25">
      <c r="A30" s="839" t="s">
        <v>1050</v>
      </c>
      <c r="B30" s="840">
        <v>19</v>
      </c>
      <c r="C30" s="841">
        <v>303.2</v>
      </c>
      <c r="D30" s="841">
        <v>280.8</v>
      </c>
      <c r="E30" s="841">
        <v>280.8</v>
      </c>
      <c r="F30" s="842">
        <f>E30/C30*100</f>
        <v>92.612137203166228</v>
      </c>
      <c r="G30" s="843">
        <v>0</v>
      </c>
      <c r="H30" s="841"/>
      <c r="I30" s="841">
        <v>39.700000000000003</v>
      </c>
      <c r="J30" s="841">
        <v>39.700000000000003</v>
      </c>
      <c r="K30" s="841">
        <v>39.668999999999997</v>
      </c>
      <c r="L30" s="842">
        <f t="shared" si="19"/>
        <v>99.92191435768261</v>
      </c>
      <c r="M30" s="843">
        <v>0</v>
      </c>
      <c r="N30" s="1069" t="s">
        <v>1364</v>
      </c>
      <c r="O30" s="841">
        <v>0.1</v>
      </c>
      <c r="P30" s="841">
        <v>0.1</v>
      </c>
      <c r="Q30" s="841">
        <v>0.1</v>
      </c>
      <c r="R30" s="842">
        <f t="shared" si="15"/>
        <v>100</v>
      </c>
      <c r="S30" s="843">
        <f t="shared" ref="S30:S82" si="21">Q30/P30*100</f>
        <v>100</v>
      </c>
      <c r="T30" s="1069" t="s">
        <v>105</v>
      </c>
    </row>
    <row r="31" spans="1:20" x14ac:dyDescent="0.25">
      <c r="A31" s="839" t="s">
        <v>1372</v>
      </c>
      <c r="B31" s="840">
        <v>68</v>
      </c>
      <c r="C31" s="841">
        <v>104.6</v>
      </c>
      <c r="D31" s="841">
        <v>104.5</v>
      </c>
      <c r="E31" s="841">
        <v>99.6</v>
      </c>
      <c r="F31" s="842">
        <f>E31/C31*100</f>
        <v>95.219885277246647</v>
      </c>
      <c r="G31" s="843">
        <f>E31/D31*100</f>
        <v>95.31100478468899</v>
      </c>
      <c r="H31" s="841"/>
      <c r="I31" s="841">
        <v>69.7</v>
      </c>
      <c r="J31" s="841">
        <v>68.3</v>
      </c>
      <c r="K31" s="841">
        <v>67.573499999999996</v>
      </c>
      <c r="L31" s="842">
        <f t="shared" si="19"/>
        <v>96.949067431850779</v>
      </c>
      <c r="M31" s="843">
        <f t="shared" ref="M31:M82" si="22">K31/J31*100</f>
        <v>98.936310395314791</v>
      </c>
      <c r="N31" s="1070"/>
      <c r="O31" s="841">
        <v>79.3</v>
      </c>
      <c r="P31" s="841">
        <v>77.900000000000006</v>
      </c>
      <c r="Q31" s="841">
        <v>72.3</v>
      </c>
      <c r="R31" s="842">
        <f t="shared" si="15"/>
        <v>91.172761664564945</v>
      </c>
      <c r="S31" s="843">
        <f t="shared" si="21"/>
        <v>92.811296534017956</v>
      </c>
      <c r="T31" s="1070"/>
    </row>
    <row r="32" spans="1:20" x14ac:dyDescent="0.25">
      <c r="A32" s="839" t="s">
        <v>1091</v>
      </c>
      <c r="B32" s="840">
        <v>69</v>
      </c>
      <c r="C32" s="841">
        <v>1663</v>
      </c>
      <c r="D32" s="841">
        <v>1663</v>
      </c>
      <c r="E32" s="841">
        <v>1661</v>
      </c>
      <c r="F32" s="842">
        <f>E32/C32*100</f>
        <v>99.87973541791942</v>
      </c>
      <c r="G32" s="843">
        <f>E32/D32*100</f>
        <v>99.87973541791942</v>
      </c>
      <c r="H32" s="841"/>
      <c r="I32" s="841">
        <v>1533.4</v>
      </c>
      <c r="J32" s="841">
        <v>1523.4</v>
      </c>
      <c r="K32" s="841">
        <v>1523.3526999999999</v>
      </c>
      <c r="L32" s="842">
        <f t="shared" si="19"/>
        <v>99.344769792617711</v>
      </c>
      <c r="M32" s="843">
        <f t="shared" si="22"/>
        <v>99.996895103058932</v>
      </c>
      <c r="N32" s="1070"/>
      <c r="O32" s="841">
        <v>1717.6</v>
      </c>
      <c r="P32" s="841">
        <v>1717.6</v>
      </c>
      <c r="Q32" s="841">
        <v>1717.4</v>
      </c>
      <c r="R32" s="842">
        <f t="shared" si="15"/>
        <v>99.988355845365646</v>
      </c>
      <c r="S32" s="843">
        <f t="shared" si="21"/>
        <v>99.988355845365646</v>
      </c>
      <c r="T32" s="1070"/>
    </row>
    <row r="33" spans="1:20" x14ac:dyDescent="0.25">
      <c r="A33" s="839" t="s">
        <v>1368</v>
      </c>
      <c r="B33" s="840">
        <v>72</v>
      </c>
      <c r="C33" s="841"/>
      <c r="D33" s="841"/>
      <c r="E33" s="841"/>
      <c r="F33" s="842">
        <v>0</v>
      </c>
      <c r="G33" s="843">
        <v>0</v>
      </c>
      <c r="H33" s="841"/>
      <c r="I33" s="841">
        <f>34000000/1000000</f>
        <v>34</v>
      </c>
      <c r="J33" s="841">
        <v>34</v>
      </c>
      <c r="K33" s="841">
        <v>34</v>
      </c>
      <c r="L33" s="842">
        <f t="shared" si="19"/>
        <v>100</v>
      </c>
      <c r="M33" s="843">
        <f t="shared" si="22"/>
        <v>100</v>
      </c>
      <c r="N33" s="1070"/>
      <c r="O33" s="841">
        <v>0</v>
      </c>
      <c r="P33" s="841">
        <v>0</v>
      </c>
      <c r="Q33" s="841">
        <v>0</v>
      </c>
      <c r="R33" s="842">
        <v>0</v>
      </c>
      <c r="S33" s="843">
        <v>0</v>
      </c>
      <c r="T33" s="1070"/>
    </row>
    <row r="34" spans="1:20" x14ac:dyDescent="0.25">
      <c r="A34" s="839" t="s">
        <v>1033</v>
      </c>
      <c r="B34" s="840">
        <v>104</v>
      </c>
      <c r="C34" s="841"/>
      <c r="D34" s="841"/>
      <c r="E34" s="841"/>
      <c r="F34" s="842">
        <v>0</v>
      </c>
      <c r="G34" s="843">
        <v>0</v>
      </c>
      <c r="H34" s="841"/>
      <c r="I34" s="841">
        <f>325.7</f>
        <v>325.7</v>
      </c>
      <c r="J34" s="841">
        <v>325.7</v>
      </c>
      <c r="K34" s="841">
        <v>325.66669999999999</v>
      </c>
      <c r="L34" s="842">
        <f t="shared" si="19"/>
        <v>99.98977586736261</v>
      </c>
      <c r="M34" s="843">
        <f t="shared" si="22"/>
        <v>99.98977586736261</v>
      </c>
      <c r="N34" s="1071"/>
      <c r="O34" s="841">
        <v>195.8</v>
      </c>
      <c r="P34" s="841">
        <v>195.8</v>
      </c>
      <c r="Q34" s="841">
        <v>195.8</v>
      </c>
      <c r="R34" s="842">
        <f t="shared" si="15"/>
        <v>100</v>
      </c>
      <c r="S34" s="843">
        <f t="shared" si="21"/>
        <v>100</v>
      </c>
      <c r="T34" s="1071"/>
    </row>
    <row r="35" spans="1:20" ht="76.5" customHeight="1" x14ac:dyDescent="0.25">
      <c r="A35" s="834" t="s">
        <v>1373</v>
      </c>
      <c r="B35" s="835"/>
      <c r="C35" s="836">
        <f>C36+C37+C38</f>
        <v>1189.3</v>
      </c>
      <c r="D35" s="836">
        <f t="shared" ref="D35:E35" si="23">D36+D37+D38</f>
        <v>1189.1999999999998</v>
      </c>
      <c r="E35" s="836">
        <f t="shared" si="23"/>
        <v>1188.5999999999999</v>
      </c>
      <c r="F35" s="836">
        <f t="shared" ref="F35:F53" si="24">E35/C35*100</f>
        <v>99.941141848145961</v>
      </c>
      <c r="G35" s="836">
        <f t="shared" ref="G35:G46" si="25">E35/D35*100</f>
        <v>99.949545913218969</v>
      </c>
      <c r="H35" s="837">
        <v>1056.5999999999999</v>
      </c>
      <c r="I35" s="836">
        <f>I36+I37+I38</f>
        <v>1130.0999999999999</v>
      </c>
      <c r="J35" s="836">
        <f t="shared" ref="J35:K35" si="26">J36+J37+J38</f>
        <v>1118</v>
      </c>
      <c r="K35" s="836">
        <f t="shared" si="26"/>
        <v>1114.8145</v>
      </c>
      <c r="L35" s="836">
        <f t="shared" si="19"/>
        <v>98.647420582249367</v>
      </c>
      <c r="M35" s="836">
        <f t="shared" si="22"/>
        <v>99.715071556350622</v>
      </c>
      <c r="N35" s="838" t="s">
        <v>1365</v>
      </c>
      <c r="O35" s="836">
        <f>O36+O37+O38</f>
        <v>1278.2</v>
      </c>
      <c r="P35" s="836">
        <f>P36+P37+P38+0.1</f>
        <v>1278.1999999999998</v>
      </c>
      <c r="Q35" s="836">
        <f t="shared" ref="Q35" si="27">Q36+Q37+Q38</f>
        <v>1278.0999999999999</v>
      </c>
      <c r="R35" s="836">
        <f t="shared" si="15"/>
        <v>99.992176498200578</v>
      </c>
      <c r="S35" s="836">
        <f t="shared" si="21"/>
        <v>99.992176498200607</v>
      </c>
      <c r="T35" s="838" t="s">
        <v>1374</v>
      </c>
    </row>
    <row r="36" spans="1:20" x14ac:dyDescent="0.25">
      <c r="A36" s="839" t="s">
        <v>1375</v>
      </c>
      <c r="B36" s="840">
        <v>83</v>
      </c>
      <c r="C36" s="841">
        <v>979</v>
      </c>
      <c r="D36" s="844">
        <v>978.9</v>
      </c>
      <c r="E36" s="841">
        <v>978.3</v>
      </c>
      <c r="F36" s="842">
        <f t="shared" si="24"/>
        <v>99.928498467824298</v>
      </c>
      <c r="G36" s="843">
        <f t="shared" si="25"/>
        <v>99.938706711615083</v>
      </c>
      <c r="H36" s="841"/>
      <c r="I36" s="841">
        <v>913.8</v>
      </c>
      <c r="J36" s="844">
        <v>903.4</v>
      </c>
      <c r="K36" s="841">
        <v>900.22799999999995</v>
      </c>
      <c r="L36" s="842">
        <f t="shared" si="19"/>
        <v>98.514773473407743</v>
      </c>
      <c r="M36" s="843">
        <f t="shared" si="22"/>
        <v>99.648882001328303</v>
      </c>
      <c r="N36" s="1069" t="s">
        <v>1364</v>
      </c>
      <c r="O36" s="841">
        <v>963</v>
      </c>
      <c r="P36" s="844">
        <v>963</v>
      </c>
      <c r="Q36" s="841">
        <v>963</v>
      </c>
      <c r="R36" s="842">
        <f t="shared" si="15"/>
        <v>100</v>
      </c>
      <c r="S36" s="843">
        <f t="shared" si="21"/>
        <v>100</v>
      </c>
      <c r="T36" s="1069" t="s">
        <v>105</v>
      </c>
    </row>
    <row r="37" spans="1:20" x14ac:dyDescent="0.25">
      <c r="A37" s="839" t="s">
        <v>1033</v>
      </c>
      <c r="B37" s="840">
        <v>104</v>
      </c>
      <c r="C37" s="841">
        <v>16.8</v>
      </c>
      <c r="D37" s="844">
        <v>16.8</v>
      </c>
      <c r="E37" s="841">
        <v>16.8</v>
      </c>
      <c r="F37" s="842">
        <f t="shared" si="24"/>
        <v>100</v>
      </c>
      <c r="G37" s="843">
        <f t="shared" si="25"/>
        <v>100</v>
      </c>
      <c r="H37" s="841"/>
      <c r="I37" s="841">
        <v>9.3000000000000007</v>
      </c>
      <c r="J37" s="844">
        <v>8.1999999999999993</v>
      </c>
      <c r="K37" s="841">
        <v>8.2202999999999999</v>
      </c>
      <c r="L37" s="842">
        <f t="shared" si="19"/>
        <v>88.390322580645147</v>
      </c>
      <c r="M37" s="843">
        <f t="shared" si="22"/>
        <v>100.24756097560976</v>
      </c>
      <c r="N37" s="1070"/>
      <c r="O37" s="841">
        <v>40</v>
      </c>
      <c r="P37" s="844">
        <v>40</v>
      </c>
      <c r="Q37" s="841">
        <v>40</v>
      </c>
      <c r="R37" s="842">
        <f t="shared" si="15"/>
        <v>100</v>
      </c>
      <c r="S37" s="843">
        <f t="shared" si="21"/>
        <v>100</v>
      </c>
      <c r="T37" s="1070"/>
    </row>
    <row r="38" spans="1:20" x14ac:dyDescent="0.25">
      <c r="A38" s="839" t="s">
        <v>1376</v>
      </c>
      <c r="B38" s="840">
        <v>737</v>
      </c>
      <c r="C38" s="841">
        <v>193.5</v>
      </c>
      <c r="D38" s="844">
        <v>193.5</v>
      </c>
      <c r="E38" s="841">
        <v>193.5</v>
      </c>
      <c r="F38" s="842">
        <f t="shared" si="24"/>
        <v>100</v>
      </c>
      <c r="G38" s="843">
        <f t="shared" si="25"/>
        <v>100</v>
      </c>
      <c r="H38" s="841"/>
      <c r="I38" s="841">
        <f>207</f>
        <v>207</v>
      </c>
      <c r="J38" s="844">
        <v>206.4</v>
      </c>
      <c r="K38" s="841">
        <v>206.36619999999999</v>
      </c>
      <c r="L38" s="842">
        <f t="shared" si="19"/>
        <v>99.693816425120772</v>
      </c>
      <c r="M38" s="843">
        <f t="shared" si="22"/>
        <v>99.98362403100775</v>
      </c>
      <c r="N38" s="1071"/>
      <c r="O38" s="841">
        <v>275.2</v>
      </c>
      <c r="P38" s="844">
        <v>275.10000000000002</v>
      </c>
      <c r="Q38" s="841">
        <v>275.10000000000002</v>
      </c>
      <c r="R38" s="842">
        <f t="shared" si="15"/>
        <v>99.963662790697683</v>
      </c>
      <c r="S38" s="843">
        <f t="shared" si="21"/>
        <v>100</v>
      </c>
      <c r="T38" s="1071"/>
    </row>
    <row r="39" spans="1:20" ht="79.2" x14ac:dyDescent="0.25">
      <c r="A39" s="834" t="s">
        <v>720</v>
      </c>
      <c r="B39" s="835"/>
      <c r="C39" s="836">
        <f>C40+C42+C43</f>
        <v>1185.7</v>
      </c>
      <c r="D39" s="836">
        <f t="shared" ref="D39" si="28">D40+D42+D43</f>
        <v>1118</v>
      </c>
      <c r="E39" s="836">
        <f>E40+E42+E43</f>
        <v>1114.8</v>
      </c>
      <c r="F39" s="836">
        <f t="shared" si="24"/>
        <v>94.020409884456441</v>
      </c>
      <c r="G39" s="836">
        <f t="shared" si="25"/>
        <v>99.713774597495515</v>
      </c>
      <c r="H39" s="837">
        <v>1404.4</v>
      </c>
      <c r="I39" s="836">
        <f>I40+I42+I43</f>
        <v>1338</v>
      </c>
      <c r="J39" s="836">
        <f t="shared" ref="J39:K39" si="29">J40+J42+J43</f>
        <v>1227.6500000000001</v>
      </c>
      <c r="K39" s="836">
        <f t="shared" si="29"/>
        <v>1221.6901</v>
      </c>
      <c r="L39" s="836">
        <f t="shared" si="19"/>
        <v>91.307182361733936</v>
      </c>
      <c r="M39" s="836">
        <f t="shared" si="22"/>
        <v>99.51452775628232</v>
      </c>
      <c r="N39" s="838" t="s">
        <v>1377</v>
      </c>
      <c r="O39" s="836">
        <f>O40+O42+O43+O41</f>
        <v>1669.2</v>
      </c>
      <c r="P39" s="836">
        <f>P40+P42+P43+P41-0.1</f>
        <v>1416.2</v>
      </c>
      <c r="Q39" s="836">
        <f t="shared" ref="Q39" si="30">Q40+Q42+Q43+Q41</f>
        <v>1412.1</v>
      </c>
      <c r="R39" s="836">
        <f t="shared" si="15"/>
        <v>84.597411933860528</v>
      </c>
      <c r="S39" s="836">
        <f t="shared" si="21"/>
        <v>99.710492868238944</v>
      </c>
      <c r="T39" s="838" t="s">
        <v>1378</v>
      </c>
    </row>
    <row r="40" spans="1:20" x14ac:dyDescent="0.25">
      <c r="A40" s="839" t="s">
        <v>1050</v>
      </c>
      <c r="B40" s="840">
        <v>19</v>
      </c>
      <c r="C40" s="841">
        <v>1029.8</v>
      </c>
      <c r="D40" s="841">
        <v>962.9</v>
      </c>
      <c r="E40" s="841">
        <v>960</v>
      </c>
      <c r="F40" s="842">
        <f t="shared" si="24"/>
        <v>93.221984851427464</v>
      </c>
      <c r="G40" s="843">
        <f t="shared" si="25"/>
        <v>99.698826461730192</v>
      </c>
      <c r="H40" s="841"/>
      <c r="I40" s="841">
        <f>1098.7+73.8</f>
        <v>1172.5</v>
      </c>
      <c r="J40" s="841">
        <v>1062.1500000000001</v>
      </c>
      <c r="K40" s="841">
        <f>1008.2084+48.2997</f>
        <v>1056.5081</v>
      </c>
      <c r="L40" s="842">
        <f t="shared" si="19"/>
        <v>90.107300639658845</v>
      </c>
      <c r="M40" s="843">
        <f t="shared" si="22"/>
        <v>99.468822670997497</v>
      </c>
      <c r="N40" s="1069" t="s">
        <v>1364</v>
      </c>
      <c r="O40" s="841">
        <v>1515.7</v>
      </c>
      <c r="P40" s="841">
        <v>1262.8</v>
      </c>
      <c r="Q40" s="841">
        <v>1260.0999999999999</v>
      </c>
      <c r="R40" s="842">
        <f t="shared" si="15"/>
        <v>83.136504585340106</v>
      </c>
      <c r="S40" s="843">
        <f t="shared" si="21"/>
        <v>99.786189420335759</v>
      </c>
      <c r="T40" s="1069" t="s">
        <v>105</v>
      </c>
    </row>
    <row r="41" spans="1:20" x14ac:dyDescent="0.25">
      <c r="A41" s="839" t="s">
        <v>1058</v>
      </c>
      <c r="B41" s="840">
        <v>23</v>
      </c>
      <c r="C41" s="841"/>
      <c r="D41" s="841"/>
      <c r="E41" s="841"/>
      <c r="F41" s="842"/>
      <c r="G41" s="843"/>
      <c r="H41" s="841"/>
      <c r="I41" s="841">
        <v>0</v>
      </c>
      <c r="J41" s="841">
        <v>0</v>
      </c>
      <c r="K41" s="841">
        <v>0</v>
      </c>
      <c r="L41" s="842">
        <v>0</v>
      </c>
      <c r="M41" s="843">
        <v>0</v>
      </c>
      <c r="N41" s="1070"/>
      <c r="O41" s="841">
        <v>13.5</v>
      </c>
      <c r="P41" s="841">
        <v>13.5</v>
      </c>
      <c r="Q41" s="841">
        <v>13.5</v>
      </c>
      <c r="R41" s="842">
        <f t="shared" si="15"/>
        <v>100</v>
      </c>
      <c r="S41" s="843">
        <f t="shared" si="21"/>
        <v>100</v>
      </c>
      <c r="T41" s="1070"/>
    </row>
    <row r="42" spans="1:20" x14ac:dyDescent="0.25">
      <c r="A42" s="839" t="s">
        <v>1369</v>
      </c>
      <c r="B42" s="840">
        <v>301</v>
      </c>
      <c r="C42" s="841">
        <v>129.69999999999999</v>
      </c>
      <c r="D42" s="841">
        <v>128.9</v>
      </c>
      <c r="E42" s="841">
        <v>128.6</v>
      </c>
      <c r="F42" s="842">
        <f t="shared" si="24"/>
        <v>99.151888974556684</v>
      </c>
      <c r="G42" s="843">
        <f t="shared" si="25"/>
        <v>99.767261442979049</v>
      </c>
      <c r="H42" s="841"/>
      <c r="I42" s="841">
        <f>134.8</f>
        <v>134.80000000000001</v>
      </c>
      <c r="J42" s="841">
        <v>134.80000000000001</v>
      </c>
      <c r="K42" s="841">
        <v>134.46260000000001</v>
      </c>
      <c r="L42" s="842">
        <f t="shared" si="19"/>
        <v>99.749703264094961</v>
      </c>
      <c r="M42" s="843">
        <f t="shared" si="22"/>
        <v>99.749703264094961</v>
      </c>
      <c r="N42" s="1070"/>
      <c r="O42" s="841">
        <v>85.1</v>
      </c>
      <c r="P42" s="841">
        <v>85.1</v>
      </c>
      <c r="Q42" s="841">
        <v>83.7</v>
      </c>
      <c r="R42" s="842">
        <f t="shared" si="15"/>
        <v>98.354876615746193</v>
      </c>
      <c r="S42" s="843">
        <f t="shared" si="21"/>
        <v>98.354876615746193</v>
      </c>
      <c r="T42" s="1070"/>
    </row>
    <row r="43" spans="1:20" x14ac:dyDescent="0.25">
      <c r="A43" s="839" t="s">
        <v>1379</v>
      </c>
      <c r="B43" s="840">
        <v>732</v>
      </c>
      <c r="C43" s="841">
        <v>26.2</v>
      </c>
      <c r="D43" s="841">
        <v>26.2</v>
      </c>
      <c r="E43" s="841">
        <v>26.2</v>
      </c>
      <c r="F43" s="842">
        <f t="shared" si="24"/>
        <v>100</v>
      </c>
      <c r="G43" s="843">
        <f t="shared" si="25"/>
        <v>100</v>
      </c>
      <c r="H43" s="841"/>
      <c r="I43" s="841">
        <v>30.7</v>
      </c>
      <c r="J43" s="841">
        <v>30.7</v>
      </c>
      <c r="K43" s="841">
        <v>30.7194</v>
      </c>
      <c r="L43" s="842">
        <f t="shared" si="19"/>
        <v>100.06319218241042</v>
      </c>
      <c r="M43" s="843">
        <f t="shared" si="22"/>
        <v>100.06319218241042</v>
      </c>
      <c r="N43" s="1071"/>
      <c r="O43" s="841">
        <v>54.9</v>
      </c>
      <c r="P43" s="841">
        <v>54.9</v>
      </c>
      <c r="Q43" s="841">
        <v>54.8</v>
      </c>
      <c r="R43" s="842">
        <f t="shared" si="15"/>
        <v>99.817850637522767</v>
      </c>
      <c r="S43" s="843">
        <f t="shared" si="21"/>
        <v>99.817850637522767</v>
      </c>
      <c r="T43" s="1071"/>
    </row>
    <row r="44" spans="1:20" ht="66" x14ac:dyDescent="0.25">
      <c r="A44" s="834" t="s">
        <v>935</v>
      </c>
      <c r="B44" s="835"/>
      <c r="C44" s="836">
        <f>C45</f>
        <v>787.2</v>
      </c>
      <c r="D44" s="836">
        <f t="shared" ref="D44:E44" si="31">D45</f>
        <v>787.2</v>
      </c>
      <c r="E44" s="836">
        <f t="shared" si="31"/>
        <v>778.8</v>
      </c>
      <c r="F44" s="836">
        <f t="shared" si="24"/>
        <v>98.932926829268283</v>
      </c>
      <c r="G44" s="836">
        <f t="shared" si="25"/>
        <v>98.932926829268283</v>
      </c>
      <c r="H44" s="837">
        <v>1146.5999999999999</v>
      </c>
      <c r="I44" s="836">
        <f>I45</f>
        <v>1149.5999999999999</v>
      </c>
      <c r="J44" s="836">
        <f t="shared" ref="J44:K44" si="32">J45</f>
        <v>1149.3</v>
      </c>
      <c r="K44" s="836">
        <f t="shared" si="32"/>
        <v>1106.461</v>
      </c>
      <c r="L44" s="836">
        <f t="shared" si="19"/>
        <v>96.247477383437726</v>
      </c>
      <c r="M44" s="836">
        <f t="shared" si="22"/>
        <v>96.272600713477772</v>
      </c>
      <c r="N44" s="838" t="s">
        <v>1380</v>
      </c>
      <c r="O44" s="836">
        <f>O45</f>
        <v>2358.5</v>
      </c>
      <c r="P44" s="836">
        <f t="shared" ref="P44:Q44" si="33">P45</f>
        <v>2355.5</v>
      </c>
      <c r="Q44" s="836">
        <f t="shared" si="33"/>
        <v>2310.5</v>
      </c>
      <c r="R44" s="836">
        <f t="shared" si="15"/>
        <v>97.964808140767431</v>
      </c>
      <c r="S44" s="836">
        <f t="shared" si="21"/>
        <v>98.089577584376983</v>
      </c>
      <c r="T44" s="838" t="s">
        <v>1381</v>
      </c>
    </row>
    <row r="45" spans="1:20" x14ac:dyDescent="0.25">
      <c r="A45" s="839" t="s">
        <v>1132</v>
      </c>
      <c r="B45" s="840">
        <v>156</v>
      </c>
      <c r="C45" s="841">
        <v>787.2</v>
      </c>
      <c r="D45" s="844">
        <v>787.2</v>
      </c>
      <c r="E45" s="841">
        <v>778.8</v>
      </c>
      <c r="F45" s="842">
        <f t="shared" si="24"/>
        <v>98.932926829268283</v>
      </c>
      <c r="G45" s="843">
        <f t="shared" si="25"/>
        <v>98.932926829268283</v>
      </c>
      <c r="H45" s="841"/>
      <c r="I45" s="841">
        <v>1149.5999999999999</v>
      </c>
      <c r="J45" s="844">
        <v>1149.3</v>
      </c>
      <c r="K45" s="841">
        <v>1106.461</v>
      </c>
      <c r="L45" s="842">
        <f t="shared" si="19"/>
        <v>96.247477383437726</v>
      </c>
      <c r="M45" s="843">
        <f t="shared" si="22"/>
        <v>96.272600713477772</v>
      </c>
      <c r="N45" s="845" t="s">
        <v>1364</v>
      </c>
      <c r="O45" s="841">
        <v>2358.5</v>
      </c>
      <c r="P45" s="844">
        <v>2355.5</v>
      </c>
      <c r="Q45" s="841">
        <v>2310.5</v>
      </c>
      <c r="R45" s="842">
        <f t="shared" si="15"/>
        <v>97.964808140767431</v>
      </c>
      <c r="S45" s="843">
        <f t="shared" si="21"/>
        <v>98.089577584376983</v>
      </c>
      <c r="T45" s="845" t="s">
        <v>105</v>
      </c>
    </row>
    <row r="46" spans="1:20" ht="105.6" x14ac:dyDescent="0.25">
      <c r="A46" s="834" t="s">
        <v>1382</v>
      </c>
      <c r="B46" s="835"/>
      <c r="C46" s="836">
        <f>C47+C48+C50</f>
        <v>12.7</v>
      </c>
      <c r="D46" s="836">
        <f t="shared" ref="D46" si="34">D47+D48+D50</f>
        <v>12.6</v>
      </c>
      <c r="E46" s="836">
        <f>E47+E48+E50</f>
        <v>12.6</v>
      </c>
      <c r="F46" s="846">
        <f t="shared" si="24"/>
        <v>99.212598425196859</v>
      </c>
      <c r="G46" s="846">
        <f t="shared" si="25"/>
        <v>100</v>
      </c>
      <c r="H46" s="837">
        <v>90.3</v>
      </c>
      <c r="I46" s="836">
        <f>I47+I48+I50</f>
        <v>38.6</v>
      </c>
      <c r="J46" s="836">
        <f t="shared" ref="J46" si="35">J47+J48+J50</f>
        <v>38.5</v>
      </c>
      <c r="K46" s="836">
        <f>K47+K48+K50</f>
        <v>38.268799999999999</v>
      </c>
      <c r="L46" s="846">
        <f t="shared" si="19"/>
        <v>99.14196891191709</v>
      </c>
      <c r="M46" s="846">
        <f t="shared" si="22"/>
        <v>99.39948051948052</v>
      </c>
      <c r="N46" s="838" t="s">
        <v>1383</v>
      </c>
      <c r="O46" s="836">
        <f>O47+O48+O50+O49</f>
        <v>163.4</v>
      </c>
      <c r="P46" s="836">
        <f t="shared" ref="P46:Q46" si="36">P47+P48+P50+P49</f>
        <v>163.4</v>
      </c>
      <c r="Q46" s="836">
        <f t="shared" si="36"/>
        <v>163.4</v>
      </c>
      <c r="R46" s="846">
        <f t="shared" si="15"/>
        <v>100</v>
      </c>
      <c r="S46" s="846">
        <f t="shared" si="21"/>
        <v>100</v>
      </c>
      <c r="T46" s="838" t="s">
        <v>1384</v>
      </c>
    </row>
    <row r="47" spans="1:20" x14ac:dyDescent="0.25">
      <c r="A47" s="839" t="s">
        <v>1050</v>
      </c>
      <c r="B47" s="840">
        <v>19</v>
      </c>
      <c r="C47" s="841">
        <v>0.1</v>
      </c>
      <c r="D47" s="841">
        <v>0</v>
      </c>
      <c r="E47" s="841">
        <v>0</v>
      </c>
      <c r="F47" s="842">
        <f t="shared" si="24"/>
        <v>0</v>
      </c>
      <c r="G47" s="843">
        <v>0</v>
      </c>
      <c r="H47" s="841"/>
      <c r="I47" s="841">
        <v>8</v>
      </c>
      <c r="J47" s="841">
        <v>7.9</v>
      </c>
      <c r="K47" s="841">
        <v>7.9230999999999998</v>
      </c>
      <c r="L47" s="842">
        <f t="shared" si="19"/>
        <v>99.038749999999993</v>
      </c>
      <c r="M47" s="843">
        <f t="shared" si="22"/>
        <v>100.29240506329114</v>
      </c>
      <c r="N47" s="1069" t="s">
        <v>105</v>
      </c>
      <c r="O47" s="841">
        <v>131.30000000000001</v>
      </c>
      <c r="P47" s="841">
        <v>131.30000000000001</v>
      </c>
      <c r="Q47" s="841">
        <v>131.30000000000001</v>
      </c>
      <c r="R47" s="842">
        <f t="shared" si="15"/>
        <v>100</v>
      </c>
      <c r="S47" s="843">
        <f t="shared" si="21"/>
        <v>100</v>
      </c>
      <c r="T47" s="1069" t="s">
        <v>105</v>
      </c>
    </row>
    <row r="48" spans="1:20" x14ac:dyDescent="0.25">
      <c r="A48" s="839" t="s">
        <v>1079</v>
      </c>
      <c r="B48" s="840">
        <v>75</v>
      </c>
      <c r="C48" s="841">
        <v>9.1999999999999993</v>
      </c>
      <c r="D48" s="841">
        <v>9.1999999999999993</v>
      </c>
      <c r="E48" s="841">
        <v>9.1999999999999993</v>
      </c>
      <c r="F48" s="842">
        <f t="shared" si="24"/>
        <v>100</v>
      </c>
      <c r="G48" s="843">
        <f>E48/D48*100</f>
        <v>100</v>
      </c>
      <c r="H48" s="841"/>
      <c r="I48" s="841">
        <f>28.6</f>
        <v>28.6</v>
      </c>
      <c r="J48" s="841">
        <v>28.6</v>
      </c>
      <c r="K48" s="841">
        <v>28.3827</v>
      </c>
      <c r="L48" s="842">
        <f t="shared" si="19"/>
        <v>99.240209790209789</v>
      </c>
      <c r="M48" s="843">
        <f t="shared" si="22"/>
        <v>99.240209790209789</v>
      </c>
      <c r="N48" s="1070"/>
      <c r="O48" s="841">
        <v>20.5</v>
      </c>
      <c r="P48" s="841">
        <v>20.5</v>
      </c>
      <c r="Q48" s="841">
        <v>20.5</v>
      </c>
      <c r="R48" s="842">
        <f t="shared" si="15"/>
        <v>100</v>
      </c>
      <c r="S48" s="843">
        <f t="shared" si="21"/>
        <v>100</v>
      </c>
      <c r="T48" s="1070"/>
    </row>
    <row r="49" spans="1:20" x14ac:dyDescent="0.25">
      <c r="A49" s="839" t="s">
        <v>1132</v>
      </c>
      <c r="B49" s="840">
        <v>156</v>
      </c>
      <c r="C49" s="841"/>
      <c r="D49" s="841"/>
      <c r="E49" s="841"/>
      <c r="F49" s="842"/>
      <c r="G49" s="843"/>
      <c r="H49" s="841"/>
      <c r="I49" s="841">
        <v>0</v>
      </c>
      <c r="J49" s="841">
        <v>0</v>
      </c>
      <c r="K49" s="841">
        <v>0</v>
      </c>
      <c r="L49" s="842">
        <v>0</v>
      </c>
      <c r="M49" s="843">
        <v>0</v>
      </c>
      <c r="N49" s="1070"/>
      <c r="O49" s="841">
        <v>0.4</v>
      </c>
      <c r="P49" s="841">
        <v>0.4</v>
      </c>
      <c r="Q49" s="841">
        <v>0.4</v>
      </c>
      <c r="R49" s="842">
        <f t="shared" si="15"/>
        <v>100</v>
      </c>
      <c r="S49" s="843">
        <f t="shared" si="21"/>
        <v>100</v>
      </c>
      <c r="T49" s="1070"/>
    </row>
    <row r="50" spans="1:20" x14ac:dyDescent="0.25">
      <c r="A50" s="839" t="s">
        <v>1369</v>
      </c>
      <c r="B50" s="840">
        <v>301</v>
      </c>
      <c r="C50" s="841">
        <v>3.4</v>
      </c>
      <c r="D50" s="841">
        <v>3.4</v>
      </c>
      <c r="E50" s="841">
        <v>3.4</v>
      </c>
      <c r="F50" s="842">
        <f t="shared" si="24"/>
        <v>100</v>
      </c>
      <c r="G50" s="843">
        <f>E50/D50*100</f>
        <v>100</v>
      </c>
      <c r="H50" s="841"/>
      <c r="I50" s="841">
        <v>2</v>
      </c>
      <c r="J50" s="841">
        <v>2</v>
      </c>
      <c r="K50" s="841">
        <v>1.9630000000000001</v>
      </c>
      <c r="L50" s="842">
        <f t="shared" si="19"/>
        <v>98.15</v>
      </c>
      <c r="M50" s="843">
        <f t="shared" si="22"/>
        <v>98.15</v>
      </c>
      <c r="N50" s="1071"/>
      <c r="O50" s="841">
        <v>11.2</v>
      </c>
      <c r="P50" s="841">
        <v>11.2</v>
      </c>
      <c r="Q50" s="841">
        <v>11.2</v>
      </c>
      <c r="R50" s="842">
        <f t="shared" si="15"/>
        <v>100</v>
      </c>
      <c r="S50" s="843">
        <f t="shared" si="21"/>
        <v>100</v>
      </c>
      <c r="T50" s="1071"/>
    </row>
    <row r="51" spans="1:20" ht="79.2" x14ac:dyDescent="0.25">
      <c r="A51" s="834" t="s">
        <v>774</v>
      </c>
      <c r="B51" s="835"/>
      <c r="C51" s="836">
        <f>C52+C53+C55+C56+C54</f>
        <v>1512</v>
      </c>
      <c r="D51" s="836">
        <f t="shared" ref="D51:E51" si="37">D52+D53+D55+D56+D54</f>
        <v>1510.5</v>
      </c>
      <c r="E51" s="836">
        <f t="shared" si="37"/>
        <v>1508.8000000000002</v>
      </c>
      <c r="F51" s="836">
        <f t="shared" si="24"/>
        <v>99.788359788359799</v>
      </c>
      <c r="G51" s="836">
        <f>E51/D51*100</f>
        <v>99.887454485269785</v>
      </c>
      <c r="H51" s="837">
        <v>1647.7</v>
      </c>
      <c r="I51" s="836">
        <f>I52+I53+I55+I56+I54</f>
        <v>1799.2926</v>
      </c>
      <c r="J51" s="836">
        <f t="shared" ref="J51:K51" si="38">J52+J53+J55+J56+J54</f>
        <v>1748.2</v>
      </c>
      <c r="K51" s="836">
        <f t="shared" si="38"/>
        <v>1742.8924000000002</v>
      </c>
      <c r="L51" s="836">
        <f t="shared" si="19"/>
        <v>96.865423667056717</v>
      </c>
      <c r="M51" s="836">
        <f t="shared" si="22"/>
        <v>99.696396293330295</v>
      </c>
      <c r="N51" s="838" t="s">
        <v>1385</v>
      </c>
      <c r="O51" s="836">
        <f>O52+O53+O55+O56+O54</f>
        <v>1776.3</v>
      </c>
      <c r="P51" s="836">
        <f t="shared" ref="P51" si="39">P52+P53+P55+P56+P54</f>
        <v>1776.1</v>
      </c>
      <c r="Q51" s="836">
        <f>Q52+Q53+Q55+Q56+Q54-0.1</f>
        <v>1764.1999999999998</v>
      </c>
      <c r="R51" s="836">
        <f t="shared" si="15"/>
        <v>99.318808759781561</v>
      </c>
      <c r="S51" s="836">
        <f t="shared" si="21"/>
        <v>99.329992680592312</v>
      </c>
      <c r="T51" s="838" t="s">
        <v>1386</v>
      </c>
    </row>
    <row r="52" spans="1:20" x14ac:dyDescent="0.25">
      <c r="A52" s="839" t="s">
        <v>1058</v>
      </c>
      <c r="B52" s="840">
        <v>23</v>
      </c>
      <c r="C52" s="841">
        <v>0.3</v>
      </c>
      <c r="D52" s="841">
        <v>0.2</v>
      </c>
      <c r="E52" s="841">
        <v>0.2</v>
      </c>
      <c r="F52" s="842">
        <f t="shared" si="24"/>
        <v>66.666666666666671</v>
      </c>
      <c r="G52" s="843">
        <f>E52/D52*100</f>
        <v>100</v>
      </c>
      <c r="H52" s="841"/>
      <c r="I52" s="841">
        <f>292600/1000000</f>
        <v>0.29260000000000003</v>
      </c>
      <c r="J52" s="841">
        <v>0.2</v>
      </c>
      <c r="K52" s="841">
        <v>0.28839999999999999</v>
      </c>
      <c r="L52" s="842">
        <f t="shared" si="19"/>
        <v>98.564593301435394</v>
      </c>
      <c r="M52" s="843">
        <f t="shared" si="22"/>
        <v>144.19999999999999</v>
      </c>
      <c r="N52" s="1069" t="s">
        <v>1364</v>
      </c>
      <c r="O52" s="841">
        <v>0.2</v>
      </c>
      <c r="P52" s="841">
        <v>0.2</v>
      </c>
      <c r="Q52" s="841">
        <v>0.2</v>
      </c>
      <c r="R52" s="842">
        <f t="shared" si="15"/>
        <v>100</v>
      </c>
      <c r="S52" s="843">
        <f t="shared" si="21"/>
        <v>100</v>
      </c>
      <c r="T52" s="1069" t="s">
        <v>105</v>
      </c>
    </row>
    <row r="53" spans="1:20" x14ac:dyDescent="0.25">
      <c r="A53" s="839" t="s">
        <v>1368</v>
      </c>
      <c r="B53" s="840">
        <v>72</v>
      </c>
      <c r="C53" s="841">
        <v>57.2</v>
      </c>
      <c r="D53" s="841">
        <v>57.2</v>
      </c>
      <c r="E53" s="841">
        <v>57.2</v>
      </c>
      <c r="F53" s="842">
        <f t="shared" si="24"/>
        <v>100</v>
      </c>
      <c r="G53" s="843">
        <f>E53/D53*100</f>
        <v>100</v>
      </c>
      <c r="H53" s="841"/>
      <c r="I53" s="841">
        <v>157.5</v>
      </c>
      <c r="J53" s="841">
        <v>157.5</v>
      </c>
      <c r="K53" s="841">
        <v>157.4478</v>
      </c>
      <c r="L53" s="842">
        <f t="shared" si="19"/>
        <v>99.966857142857151</v>
      </c>
      <c r="M53" s="843">
        <f t="shared" si="22"/>
        <v>99.966857142857151</v>
      </c>
      <c r="N53" s="1070"/>
      <c r="O53" s="841">
        <v>139.4</v>
      </c>
      <c r="P53" s="841">
        <v>139.4</v>
      </c>
      <c r="Q53" s="841">
        <v>139.4</v>
      </c>
      <c r="R53" s="842">
        <f t="shared" si="15"/>
        <v>100</v>
      </c>
      <c r="S53" s="843">
        <f t="shared" si="21"/>
        <v>100</v>
      </c>
      <c r="T53" s="1070"/>
    </row>
    <row r="54" spans="1:20" x14ac:dyDescent="0.25">
      <c r="A54" s="839" t="s">
        <v>1079</v>
      </c>
      <c r="B54" s="840">
        <v>75</v>
      </c>
      <c r="C54" s="841"/>
      <c r="D54" s="841"/>
      <c r="E54" s="841"/>
      <c r="F54" s="842">
        <v>0</v>
      </c>
      <c r="G54" s="843">
        <v>0</v>
      </c>
      <c r="H54" s="841"/>
      <c r="I54" s="841">
        <v>51</v>
      </c>
      <c r="J54" s="841">
        <v>0</v>
      </c>
      <c r="K54" s="841">
        <v>0</v>
      </c>
      <c r="L54" s="842">
        <f t="shared" si="19"/>
        <v>0</v>
      </c>
      <c r="M54" s="843">
        <v>0</v>
      </c>
      <c r="N54" s="1070"/>
      <c r="O54" s="841">
        <v>51</v>
      </c>
      <c r="P54" s="841">
        <v>51</v>
      </c>
      <c r="Q54" s="841">
        <v>50.1</v>
      </c>
      <c r="R54" s="842">
        <f t="shared" si="15"/>
        <v>98.235294117647072</v>
      </c>
      <c r="S54" s="843">
        <f t="shared" si="21"/>
        <v>98.235294117647072</v>
      </c>
      <c r="T54" s="1070"/>
    </row>
    <row r="55" spans="1:20" x14ac:dyDescent="0.25">
      <c r="A55" s="839" t="s">
        <v>1375</v>
      </c>
      <c r="B55" s="840">
        <v>83</v>
      </c>
      <c r="C55" s="841">
        <v>1</v>
      </c>
      <c r="D55" s="841">
        <v>1</v>
      </c>
      <c r="E55" s="841">
        <v>1</v>
      </c>
      <c r="F55" s="842">
        <f t="shared" ref="F55:F93" si="40">E55/C55*100</f>
        <v>100</v>
      </c>
      <c r="G55" s="843">
        <f t="shared" ref="G55:G93" si="41">E55/D55*100</f>
        <v>100</v>
      </c>
      <c r="H55" s="841"/>
      <c r="I55" s="841">
        <v>1</v>
      </c>
      <c r="J55" s="841">
        <v>1</v>
      </c>
      <c r="K55" s="841">
        <v>1.0043</v>
      </c>
      <c r="L55" s="842">
        <f t="shared" si="19"/>
        <v>100.42999999999999</v>
      </c>
      <c r="M55" s="843">
        <f t="shared" si="22"/>
        <v>100.42999999999999</v>
      </c>
      <c r="N55" s="1070"/>
      <c r="O55" s="841">
        <v>0</v>
      </c>
      <c r="P55" s="841">
        <v>0</v>
      </c>
      <c r="Q55" s="841">
        <v>0</v>
      </c>
      <c r="R55" s="842">
        <v>0</v>
      </c>
      <c r="S55" s="843">
        <v>0</v>
      </c>
      <c r="T55" s="1070"/>
    </row>
    <row r="56" spans="1:20" x14ac:dyDescent="0.25">
      <c r="A56" s="839" t="s">
        <v>1387</v>
      </c>
      <c r="B56" s="840">
        <v>176</v>
      </c>
      <c r="C56" s="841">
        <v>1453.5</v>
      </c>
      <c r="D56" s="841">
        <v>1452.1</v>
      </c>
      <c r="E56" s="841">
        <v>1450.4</v>
      </c>
      <c r="F56" s="842">
        <f t="shared" si="40"/>
        <v>99.786721706226359</v>
      </c>
      <c r="G56" s="843">
        <f t="shared" si="41"/>
        <v>99.882928172990844</v>
      </c>
      <c r="H56" s="841"/>
      <c r="I56" s="841">
        <v>1589.5</v>
      </c>
      <c r="J56" s="841">
        <v>1589.5</v>
      </c>
      <c r="K56" s="841">
        <v>1584.1519000000001</v>
      </c>
      <c r="L56" s="842">
        <f t="shared" si="19"/>
        <v>99.663535703051281</v>
      </c>
      <c r="M56" s="843">
        <f t="shared" si="22"/>
        <v>99.663535703051281</v>
      </c>
      <c r="N56" s="1071"/>
      <c r="O56" s="841">
        <v>1585.7</v>
      </c>
      <c r="P56" s="841">
        <v>1585.5</v>
      </c>
      <c r="Q56" s="841">
        <v>1574.6</v>
      </c>
      <c r="R56" s="842">
        <f t="shared" si="15"/>
        <v>99.299993693636864</v>
      </c>
      <c r="S56" s="843">
        <f t="shared" si="21"/>
        <v>99.312519709870699</v>
      </c>
      <c r="T56" s="1071"/>
    </row>
    <row r="57" spans="1:20" ht="66" x14ac:dyDescent="0.25">
      <c r="A57" s="834" t="s">
        <v>740</v>
      </c>
      <c r="B57" s="835"/>
      <c r="C57" s="836">
        <f>C58+C59</f>
        <v>202.7</v>
      </c>
      <c r="D57" s="836">
        <f>D58+D59</f>
        <v>155.30000000000001</v>
      </c>
      <c r="E57" s="836">
        <f t="shared" ref="E57" si="42">E58+E59</f>
        <v>142</v>
      </c>
      <c r="F57" s="836">
        <f t="shared" si="40"/>
        <v>70.054267390231871</v>
      </c>
      <c r="G57" s="836">
        <f t="shared" si="41"/>
        <v>91.435930457179651</v>
      </c>
      <c r="H57" s="837">
        <v>664.7</v>
      </c>
      <c r="I57" s="836">
        <f>I58+I59</f>
        <v>763.3</v>
      </c>
      <c r="J57" s="836">
        <f>J58+J59</f>
        <v>528.5</v>
      </c>
      <c r="K57" s="836">
        <f t="shared" ref="K57" si="43">K58+K59</f>
        <v>481.77960000000002</v>
      </c>
      <c r="L57" s="836">
        <f t="shared" si="19"/>
        <v>63.117987685051759</v>
      </c>
      <c r="M57" s="836">
        <f t="shared" si="22"/>
        <v>91.159810785241248</v>
      </c>
      <c r="N57" s="838" t="s">
        <v>1388</v>
      </c>
      <c r="O57" s="836">
        <f>O58+O59+O60</f>
        <v>730.2</v>
      </c>
      <c r="P57" s="836">
        <f t="shared" ref="P57:Q57" si="44">P58+P59+P60</f>
        <v>635.90000000000009</v>
      </c>
      <c r="Q57" s="836">
        <f t="shared" si="44"/>
        <v>626.20000000000005</v>
      </c>
      <c r="R57" s="836">
        <f t="shared" si="15"/>
        <v>85.757326759791837</v>
      </c>
      <c r="S57" s="836">
        <f t="shared" si="21"/>
        <v>98.474602924988204</v>
      </c>
      <c r="T57" s="838" t="s">
        <v>1389</v>
      </c>
    </row>
    <row r="58" spans="1:20" x14ac:dyDescent="0.25">
      <c r="A58" s="839" t="s">
        <v>1050</v>
      </c>
      <c r="B58" s="840">
        <v>19</v>
      </c>
      <c r="C58" s="841">
        <v>118.2</v>
      </c>
      <c r="D58" s="841">
        <v>81.8</v>
      </c>
      <c r="E58" s="841">
        <v>69.099999999999994</v>
      </c>
      <c r="F58" s="842">
        <f t="shared" si="40"/>
        <v>58.460236886632821</v>
      </c>
      <c r="G58" s="843">
        <f t="shared" si="41"/>
        <v>84.474327628361863</v>
      </c>
      <c r="H58" s="841"/>
      <c r="I58" s="841">
        <v>244.3</v>
      </c>
      <c r="J58" s="841">
        <v>41.3</v>
      </c>
      <c r="K58" s="841">
        <v>41.263500000000001</v>
      </c>
      <c r="L58" s="842">
        <f t="shared" si="19"/>
        <v>16.890503479328693</v>
      </c>
      <c r="M58" s="843">
        <f t="shared" si="22"/>
        <v>99.911622276029064</v>
      </c>
      <c r="N58" s="1069" t="s">
        <v>1364</v>
      </c>
      <c r="O58" s="841">
        <v>6.6</v>
      </c>
      <c r="P58" s="841">
        <v>6.6</v>
      </c>
      <c r="Q58" s="841">
        <v>6.6</v>
      </c>
      <c r="R58" s="842">
        <f t="shared" si="15"/>
        <v>100</v>
      </c>
      <c r="S58" s="843">
        <f t="shared" si="21"/>
        <v>100</v>
      </c>
      <c r="T58" s="1069" t="s">
        <v>105</v>
      </c>
    </row>
    <row r="59" spans="1:20" x14ac:dyDescent="0.25">
      <c r="A59" s="839" t="s">
        <v>1062</v>
      </c>
      <c r="B59" s="840">
        <v>45</v>
      </c>
      <c r="C59" s="841">
        <v>84.5</v>
      </c>
      <c r="D59" s="841">
        <v>73.5</v>
      </c>
      <c r="E59" s="841">
        <v>72.900000000000006</v>
      </c>
      <c r="F59" s="842">
        <f t="shared" si="40"/>
        <v>86.272189349112438</v>
      </c>
      <c r="G59" s="843">
        <f t="shared" si="41"/>
        <v>99.18367346938777</v>
      </c>
      <c r="H59" s="841"/>
      <c r="I59" s="841">
        <v>519</v>
      </c>
      <c r="J59" s="841">
        <v>487.2</v>
      </c>
      <c r="K59" s="841">
        <v>440.51609999999999</v>
      </c>
      <c r="L59" s="842">
        <f t="shared" si="19"/>
        <v>84.877861271676309</v>
      </c>
      <c r="M59" s="843">
        <f t="shared" si="22"/>
        <v>90.417918719211826</v>
      </c>
      <c r="N59" s="1070"/>
      <c r="O59" s="841">
        <v>710.5</v>
      </c>
      <c r="P59" s="841">
        <v>616.20000000000005</v>
      </c>
      <c r="Q59" s="841">
        <v>606.5</v>
      </c>
      <c r="R59" s="842">
        <f t="shared" si="15"/>
        <v>85.362420830401135</v>
      </c>
      <c r="S59" s="843">
        <f t="shared" si="21"/>
        <v>98.425835767607921</v>
      </c>
      <c r="T59" s="1070"/>
    </row>
    <row r="60" spans="1:20" x14ac:dyDescent="0.25">
      <c r="A60" s="839" t="s">
        <v>1387</v>
      </c>
      <c r="B60" s="840">
        <v>176</v>
      </c>
      <c r="C60" s="841"/>
      <c r="D60" s="841"/>
      <c r="E60" s="841"/>
      <c r="F60" s="842"/>
      <c r="G60" s="843"/>
      <c r="H60" s="841"/>
      <c r="I60" s="841">
        <v>0</v>
      </c>
      <c r="J60" s="841">
        <v>0</v>
      </c>
      <c r="K60" s="841">
        <v>0</v>
      </c>
      <c r="L60" s="842">
        <v>0</v>
      </c>
      <c r="M60" s="843">
        <v>0</v>
      </c>
      <c r="N60" s="1071"/>
      <c r="O60" s="841">
        <v>13.1</v>
      </c>
      <c r="P60" s="841">
        <v>13.1</v>
      </c>
      <c r="Q60" s="841">
        <v>13.1</v>
      </c>
      <c r="R60" s="842">
        <f t="shared" si="15"/>
        <v>100</v>
      </c>
      <c r="S60" s="843">
        <f t="shared" si="21"/>
        <v>100</v>
      </c>
      <c r="T60" s="1071"/>
    </row>
    <row r="61" spans="1:20" ht="98.25" customHeight="1" x14ac:dyDescent="0.25">
      <c r="A61" s="834" t="s">
        <v>822</v>
      </c>
      <c r="B61" s="835"/>
      <c r="C61" s="836">
        <f>C62+C63+C64+C65+C66</f>
        <v>698.3</v>
      </c>
      <c r="D61" s="836">
        <f>D62+D63+D64+D65+D66</f>
        <v>698.3</v>
      </c>
      <c r="E61" s="836">
        <f t="shared" ref="E61" si="45">E62+E63+E64+E65+E66</f>
        <v>698.3</v>
      </c>
      <c r="F61" s="836">
        <f t="shared" si="40"/>
        <v>100</v>
      </c>
      <c r="G61" s="836">
        <f t="shared" si="41"/>
        <v>100</v>
      </c>
      <c r="H61" s="837">
        <v>1062.5999999999999</v>
      </c>
      <c r="I61" s="836">
        <f>I62+I63+I64+I65+I66</f>
        <v>1125.8</v>
      </c>
      <c r="J61" s="836">
        <f t="shared" ref="J61:K61" si="46">J62+J63+J64+J65+J66</f>
        <v>1036.4000000000001</v>
      </c>
      <c r="K61" s="836">
        <f t="shared" si="46"/>
        <v>1025.037</v>
      </c>
      <c r="L61" s="836">
        <f t="shared" si="19"/>
        <v>91.049653579676686</v>
      </c>
      <c r="M61" s="836">
        <f t="shared" si="22"/>
        <v>98.903608645310683</v>
      </c>
      <c r="N61" s="838" t="s">
        <v>1390</v>
      </c>
      <c r="O61" s="836">
        <f>O62+O63+O64+O65+O66</f>
        <v>1657</v>
      </c>
      <c r="P61" s="836">
        <f>P62+P63+P64+P65+P66-0.1</f>
        <v>1484.3</v>
      </c>
      <c r="Q61" s="836">
        <f>Q62+Q63+Q64+Q65+Q66-0.1</f>
        <v>1482.5000000000002</v>
      </c>
      <c r="R61" s="836">
        <f t="shared" si="15"/>
        <v>89.468919734459888</v>
      </c>
      <c r="S61" s="836">
        <f t="shared" si="21"/>
        <v>99.878730714815077</v>
      </c>
      <c r="T61" s="838" t="s">
        <v>1383</v>
      </c>
    </row>
    <row r="62" spans="1:20" x14ac:dyDescent="0.25">
      <c r="A62" s="839" t="s">
        <v>1050</v>
      </c>
      <c r="B62" s="840">
        <v>19</v>
      </c>
      <c r="C62" s="841">
        <v>68.599999999999994</v>
      </c>
      <c r="D62" s="844">
        <v>68.599999999999994</v>
      </c>
      <c r="E62" s="841">
        <v>68.599999999999994</v>
      </c>
      <c r="F62" s="842">
        <f t="shared" si="40"/>
        <v>100</v>
      </c>
      <c r="G62" s="843">
        <f t="shared" si="41"/>
        <v>100</v>
      </c>
      <c r="H62" s="841"/>
      <c r="I62" s="841">
        <v>260.3</v>
      </c>
      <c r="J62" s="844">
        <v>175.9</v>
      </c>
      <c r="K62" s="841">
        <v>175.94919999999999</v>
      </c>
      <c r="L62" s="842">
        <f t="shared" si="19"/>
        <v>67.594775259316165</v>
      </c>
      <c r="M62" s="843">
        <f t="shared" si="22"/>
        <v>100.02797043774872</v>
      </c>
      <c r="N62" s="1069" t="s">
        <v>1364</v>
      </c>
      <c r="O62" s="841">
        <v>444.5</v>
      </c>
      <c r="P62" s="844">
        <v>271.89999999999998</v>
      </c>
      <c r="Q62" s="841">
        <v>271.89999999999998</v>
      </c>
      <c r="R62" s="842">
        <f t="shared" si="15"/>
        <v>61.169853768278962</v>
      </c>
      <c r="S62" s="843">
        <f t="shared" si="21"/>
        <v>100</v>
      </c>
      <c r="T62" s="1069" t="s">
        <v>105</v>
      </c>
    </row>
    <row r="63" spans="1:20" x14ac:dyDescent="0.25">
      <c r="A63" s="839" t="s">
        <v>1105</v>
      </c>
      <c r="B63" s="840">
        <v>62</v>
      </c>
      <c r="C63" s="841">
        <v>4.7</v>
      </c>
      <c r="D63" s="844">
        <v>4.7</v>
      </c>
      <c r="E63" s="841">
        <v>4.7</v>
      </c>
      <c r="F63" s="842">
        <f t="shared" si="40"/>
        <v>100</v>
      </c>
      <c r="G63" s="843">
        <f t="shared" si="41"/>
        <v>100</v>
      </c>
      <c r="H63" s="841"/>
      <c r="I63" s="841">
        <f>5.3</f>
        <v>5.3</v>
      </c>
      <c r="J63" s="844">
        <v>5.3</v>
      </c>
      <c r="K63" s="841">
        <v>5.3022999999999998</v>
      </c>
      <c r="L63" s="842">
        <f t="shared" si="19"/>
        <v>100.0433962264151</v>
      </c>
      <c r="M63" s="843">
        <f t="shared" si="22"/>
        <v>100.0433962264151</v>
      </c>
      <c r="N63" s="1070"/>
      <c r="O63" s="841">
        <v>4</v>
      </c>
      <c r="P63" s="844">
        <v>4</v>
      </c>
      <c r="Q63" s="841">
        <v>4</v>
      </c>
      <c r="R63" s="842">
        <f t="shared" si="15"/>
        <v>100</v>
      </c>
      <c r="S63" s="843">
        <f t="shared" si="21"/>
        <v>100</v>
      </c>
      <c r="T63" s="1070"/>
    </row>
    <row r="64" spans="1:20" x14ac:dyDescent="0.25">
      <c r="A64" s="839" t="s">
        <v>1079</v>
      </c>
      <c r="B64" s="840">
        <v>75</v>
      </c>
      <c r="C64" s="841">
        <v>1</v>
      </c>
      <c r="D64" s="844">
        <v>1</v>
      </c>
      <c r="E64" s="841">
        <v>1</v>
      </c>
      <c r="F64" s="842">
        <f t="shared" si="40"/>
        <v>100</v>
      </c>
      <c r="G64" s="843">
        <f t="shared" si="41"/>
        <v>100</v>
      </c>
      <c r="H64" s="841"/>
      <c r="I64" s="841">
        <v>15</v>
      </c>
      <c r="J64" s="844">
        <v>11</v>
      </c>
      <c r="K64" s="841">
        <v>11</v>
      </c>
      <c r="L64" s="842">
        <f t="shared" si="19"/>
        <v>73.333333333333329</v>
      </c>
      <c r="M64" s="843">
        <f t="shared" si="22"/>
        <v>100</v>
      </c>
      <c r="N64" s="1070"/>
      <c r="O64" s="841">
        <v>15.8</v>
      </c>
      <c r="P64" s="844">
        <v>15.8</v>
      </c>
      <c r="Q64" s="841">
        <v>15.8</v>
      </c>
      <c r="R64" s="842">
        <f t="shared" si="15"/>
        <v>100</v>
      </c>
      <c r="S64" s="843">
        <f t="shared" si="21"/>
        <v>100</v>
      </c>
      <c r="T64" s="1070"/>
    </row>
    <row r="65" spans="1:20" x14ac:dyDescent="0.25">
      <c r="A65" s="839" t="s">
        <v>1150</v>
      </c>
      <c r="B65" s="840">
        <v>263</v>
      </c>
      <c r="C65" s="841">
        <v>481.9</v>
      </c>
      <c r="D65" s="844">
        <v>481.9</v>
      </c>
      <c r="E65" s="841">
        <v>481.9</v>
      </c>
      <c r="F65" s="842">
        <f t="shared" si="40"/>
        <v>100</v>
      </c>
      <c r="G65" s="843">
        <f t="shared" si="41"/>
        <v>100</v>
      </c>
      <c r="H65" s="841"/>
      <c r="I65" s="841">
        <f>602.1+16.5</f>
        <v>618.6</v>
      </c>
      <c r="J65" s="844">
        <v>618.6</v>
      </c>
      <c r="K65" s="841">
        <f>601.94+16.5239</f>
        <v>618.46390000000008</v>
      </c>
      <c r="L65" s="842">
        <f t="shared" si="19"/>
        <v>99.977998706757205</v>
      </c>
      <c r="M65" s="843">
        <f t="shared" si="22"/>
        <v>99.977998706757205</v>
      </c>
      <c r="N65" s="1070"/>
      <c r="O65" s="841">
        <v>859.4</v>
      </c>
      <c r="P65" s="844">
        <v>859.4</v>
      </c>
      <c r="Q65" s="841">
        <v>859.2</v>
      </c>
      <c r="R65" s="842">
        <f t="shared" si="15"/>
        <v>99.976727949732378</v>
      </c>
      <c r="S65" s="843">
        <f t="shared" si="21"/>
        <v>99.976727949732378</v>
      </c>
      <c r="T65" s="1070"/>
    </row>
    <row r="66" spans="1:20" x14ac:dyDescent="0.25">
      <c r="A66" s="839" t="s">
        <v>1369</v>
      </c>
      <c r="B66" s="840">
        <v>301</v>
      </c>
      <c r="C66" s="841">
        <v>142.1</v>
      </c>
      <c r="D66" s="844">
        <v>142.1</v>
      </c>
      <c r="E66" s="841">
        <v>142.1</v>
      </c>
      <c r="F66" s="842">
        <f t="shared" si="40"/>
        <v>100</v>
      </c>
      <c r="G66" s="843">
        <f t="shared" si="41"/>
        <v>100</v>
      </c>
      <c r="H66" s="841"/>
      <c r="I66" s="841">
        <v>226.6</v>
      </c>
      <c r="J66" s="844">
        <v>225.6</v>
      </c>
      <c r="K66" s="841">
        <v>214.32159999999999</v>
      </c>
      <c r="L66" s="842">
        <f t="shared" si="19"/>
        <v>94.581465136804937</v>
      </c>
      <c r="M66" s="843">
        <f t="shared" si="22"/>
        <v>95.000709219858152</v>
      </c>
      <c r="N66" s="1071"/>
      <c r="O66" s="841">
        <v>333.3</v>
      </c>
      <c r="P66" s="844">
        <v>333.3</v>
      </c>
      <c r="Q66" s="841">
        <v>331.7</v>
      </c>
      <c r="R66" s="842">
        <f t="shared" si="15"/>
        <v>99.51995199519952</v>
      </c>
      <c r="S66" s="843">
        <f t="shared" si="21"/>
        <v>99.51995199519952</v>
      </c>
      <c r="T66" s="1071"/>
    </row>
    <row r="67" spans="1:20" ht="52.8" x14ac:dyDescent="0.25">
      <c r="A67" s="834" t="s">
        <v>1391</v>
      </c>
      <c r="B67" s="835"/>
      <c r="C67" s="836">
        <f>C68</f>
        <v>352.1</v>
      </c>
      <c r="D67" s="836">
        <f t="shared" ref="D67:E67" si="47">D68</f>
        <v>351.6</v>
      </c>
      <c r="E67" s="836">
        <f t="shared" si="47"/>
        <v>351.2</v>
      </c>
      <c r="F67" s="836">
        <f t="shared" si="40"/>
        <v>99.744390798068721</v>
      </c>
      <c r="G67" s="836">
        <f t="shared" si="41"/>
        <v>99.886234357224112</v>
      </c>
      <c r="H67" s="837">
        <v>516</v>
      </c>
      <c r="I67" s="836">
        <f>I68</f>
        <v>515.95065880000004</v>
      </c>
      <c r="J67" s="836">
        <f t="shared" ref="J67:K67" si="48">J68</f>
        <v>381.7</v>
      </c>
      <c r="K67" s="836">
        <f t="shared" si="48"/>
        <v>381.64449999999999</v>
      </c>
      <c r="L67" s="836">
        <f t="shared" si="19"/>
        <v>73.969185520109647</v>
      </c>
      <c r="M67" s="836">
        <f t="shared" si="22"/>
        <v>99.985459785171599</v>
      </c>
      <c r="N67" s="838" t="s">
        <v>1392</v>
      </c>
      <c r="O67" s="836">
        <f>O68</f>
        <v>881</v>
      </c>
      <c r="P67" s="836">
        <f>P68</f>
        <v>871.4</v>
      </c>
      <c r="Q67" s="836">
        <f t="shared" ref="Q67" si="49">Q68</f>
        <v>871.4</v>
      </c>
      <c r="R67" s="836">
        <f t="shared" si="15"/>
        <v>98.910329171396143</v>
      </c>
      <c r="S67" s="836">
        <f t="shared" si="21"/>
        <v>100</v>
      </c>
      <c r="T67" s="838" t="s">
        <v>1393</v>
      </c>
    </row>
    <row r="68" spans="1:20" x14ac:dyDescent="0.25">
      <c r="A68" s="839" t="s">
        <v>1058</v>
      </c>
      <c r="B68" s="840">
        <v>23</v>
      </c>
      <c r="C68" s="841">
        <v>352.1</v>
      </c>
      <c r="D68" s="841">
        <v>351.6</v>
      </c>
      <c r="E68" s="841">
        <v>351.2</v>
      </c>
      <c r="F68" s="842">
        <f t="shared" si="40"/>
        <v>99.744390798068721</v>
      </c>
      <c r="G68" s="843">
        <f t="shared" si="41"/>
        <v>99.886234357224112</v>
      </c>
      <c r="H68" s="841"/>
      <c r="I68" s="841">
        <f>515950658.8/1000000</f>
        <v>515.95065880000004</v>
      </c>
      <c r="J68" s="841">
        <v>381.7</v>
      </c>
      <c r="K68" s="841">
        <v>381.64449999999999</v>
      </c>
      <c r="L68" s="842">
        <f t="shared" si="19"/>
        <v>73.969185520109647</v>
      </c>
      <c r="M68" s="843">
        <f t="shared" si="22"/>
        <v>99.985459785171599</v>
      </c>
      <c r="N68" s="845" t="s">
        <v>1364</v>
      </c>
      <c r="O68" s="841">
        <v>881</v>
      </c>
      <c r="P68" s="841">
        <v>871.4</v>
      </c>
      <c r="Q68" s="841">
        <v>871.4</v>
      </c>
      <c r="R68" s="842">
        <f t="shared" si="15"/>
        <v>98.910329171396143</v>
      </c>
      <c r="S68" s="843">
        <f t="shared" si="21"/>
        <v>100</v>
      </c>
      <c r="T68" s="845" t="s">
        <v>105</v>
      </c>
    </row>
    <row r="69" spans="1:20" ht="39.6" x14ac:dyDescent="0.25">
      <c r="A69" s="834" t="s">
        <v>1394</v>
      </c>
      <c r="B69" s="835"/>
      <c r="C69" s="836">
        <f>C70</f>
        <v>2.6</v>
      </c>
      <c r="D69" s="836">
        <f t="shared" ref="D69:E69" si="50">D70</f>
        <v>2.6</v>
      </c>
      <c r="E69" s="836">
        <f t="shared" si="50"/>
        <v>2.6</v>
      </c>
      <c r="F69" s="836">
        <f t="shared" si="40"/>
        <v>100</v>
      </c>
      <c r="G69" s="836">
        <f t="shared" si="41"/>
        <v>100</v>
      </c>
      <c r="H69" s="837">
        <v>3.5</v>
      </c>
      <c r="I69" s="836">
        <f>I70</f>
        <v>3.2</v>
      </c>
      <c r="J69" s="836">
        <f t="shared" ref="J69:K69" si="51">J70</f>
        <v>3.2</v>
      </c>
      <c r="K69" s="836">
        <f t="shared" si="51"/>
        <v>3.1941000000000002</v>
      </c>
      <c r="L69" s="836">
        <f t="shared" si="19"/>
        <v>99.815624999999997</v>
      </c>
      <c r="M69" s="836">
        <f t="shared" si="22"/>
        <v>99.815624999999997</v>
      </c>
      <c r="N69" s="838" t="s">
        <v>1395</v>
      </c>
      <c r="O69" s="836">
        <f>O70</f>
        <v>3.4</v>
      </c>
      <c r="P69" s="836">
        <f t="shared" ref="P69:Q69" si="52">P70</f>
        <v>3.4</v>
      </c>
      <c r="Q69" s="836">
        <f t="shared" si="52"/>
        <v>3.4</v>
      </c>
      <c r="R69" s="836">
        <f t="shared" si="15"/>
        <v>100</v>
      </c>
      <c r="S69" s="836">
        <f t="shared" si="21"/>
        <v>100</v>
      </c>
      <c r="T69" s="838" t="s">
        <v>1396</v>
      </c>
    </row>
    <row r="70" spans="1:20" x14ac:dyDescent="0.25">
      <c r="A70" s="839" t="s">
        <v>1375</v>
      </c>
      <c r="B70" s="840">
        <v>83</v>
      </c>
      <c r="C70" s="841">
        <v>2.6</v>
      </c>
      <c r="D70" s="841">
        <v>2.6</v>
      </c>
      <c r="E70" s="841">
        <v>2.6</v>
      </c>
      <c r="F70" s="842">
        <f t="shared" si="40"/>
        <v>100</v>
      </c>
      <c r="G70" s="843">
        <f t="shared" si="41"/>
        <v>100</v>
      </c>
      <c r="H70" s="841"/>
      <c r="I70" s="841">
        <v>3.2</v>
      </c>
      <c r="J70" s="841">
        <v>3.2</v>
      </c>
      <c r="K70" s="841">
        <v>3.1941000000000002</v>
      </c>
      <c r="L70" s="842">
        <f t="shared" si="19"/>
        <v>99.815624999999997</v>
      </c>
      <c r="M70" s="843">
        <f t="shared" si="22"/>
        <v>99.815624999999997</v>
      </c>
      <c r="N70" s="845" t="s">
        <v>1364</v>
      </c>
      <c r="O70" s="841">
        <v>3.4</v>
      </c>
      <c r="P70" s="841">
        <v>3.4</v>
      </c>
      <c r="Q70" s="841">
        <v>3.4</v>
      </c>
      <c r="R70" s="842">
        <f t="shared" si="15"/>
        <v>100</v>
      </c>
      <c r="S70" s="843">
        <f t="shared" si="21"/>
        <v>100</v>
      </c>
      <c r="T70" s="845" t="s">
        <v>105</v>
      </c>
    </row>
    <row r="71" spans="1:20" ht="52.8" x14ac:dyDescent="0.25">
      <c r="A71" s="834" t="s">
        <v>835</v>
      </c>
      <c r="B71" s="835"/>
      <c r="C71" s="836">
        <f>C72</f>
        <v>1138.3</v>
      </c>
      <c r="D71" s="836">
        <f t="shared" ref="D71" si="53">D72</f>
        <v>1137.8</v>
      </c>
      <c r="E71" s="836">
        <f>E72</f>
        <v>1134.5999999999999</v>
      </c>
      <c r="F71" s="836">
        <f t="shared" si="40"/>
        <v>99.674953878590884</v>
      </c>
      <c r="G71" s="836">
        <f t="shared" si="41"/>
        <v>99.718755493056776</v>
      </c>
      <c r="H71" s="837">
        <v>1369.5</v>
      </c>
      <c r="I71" s="836">
        <f>I72</f>
        <v>1371.6</v>
      </c>
      <c r="J71" s="836">
        <f t="shared" ref="J71:K71" si="54">J72</f>
        <v>1357.4</v>
      </c>
      <c r="K71" s="836">
        <f t="shared" si="54"/>
        <v>1350.0074</v>
      </c>
      <c r="L71" s="836">
        <f t="shared" si="19"/>
        <v>98.425736366287552</v>
      </c>
      <c r="M71" s="836">
        <f t="shared" si="22"/>
        <v>99.455385295417699</v>
      </c>
      <c r="N71" s="838" t="s">
        <v>1397</v>
      </c>
      <c r="O71" s="836">
        <f>O72</f>
        <v>1531.8</v>
      </c>
      <c r="P71" s="836">
        <f t="shared" ref="P71:Q71" si="55">P72</f>
        <v>1529.6</v>
      </c>
      <c r="Q71" s="836">
        <f t="shared" si="55"/>
        <v>1524.6</v>
      </c>
      <c r="R71" s="836">
        <f t="shared" si="15"/>
        <v>99.529964747356047</v>
      </c>
      <c r="S71" s="836">
        <f t="shared" si="21"/>
        <v>99.67311715481172</v>
      </c>
      <c r="T71" s="838" t="s">
        <v>1398</v>
      </c>
    </row>
    <row r="72" spans="1:20" x14ac:dyDescent="0.25">
      <c r="A72" s="839" t="s">
        <v>1062</v>
      </c>
      <c r="B72" s="840">
        <v>45</v>
      </c>
      <c r="C72" s="841">
        <v>1138.3</v>
      </c>
      <c r="D72" s="841">
        <v>1137.8</v>
      </c>
      <c r="E72" s="841">
        <v>1134.5999999999999</v>
      </c>
      <c r="F72" s="842">
        <f t="shared" si="40"/>
        <v>99.674953878590884</v>
      </c>
      <c r="G72" s="843">
        <f t="shared" si="41"/>
        <v>99.718755493056776</v>
      </c>
      <c r="H72" s="841"/>
      <c r="I72" s="841">
        <v>1371.6</v>
      </c>
      <c r="J72" s="841">
        <v>1357.4</v>
      </c>
      <c r="K72" s="841">
        <v>1350.0074</v>
      </c>
      <c r="L72" s="842">
        <f t="shared" si="19"/>
        <v>98.425736366287552</v>
      </c>
      <c r="M72" s="843">
        <f t="shared" si="22"/>
        <v>99.455385295417699</v>
      </c>
      <c r="N72" s="845" t="s">
        <v>1364</v>
      </c>
      <c r="O72" s="841">
        <v>1531.8</v>
      </c>
      <c r="P72" s="841">
        <v>1529.6</v>
      </c>
      <c r="Q72" s="841">
        <v>1524.6</v>
      </c>
      <c r="R72" s="842">
        <f t="shared" si="15"/>
        <v>99.529964747356047</v>
      </c>
      <c r="S72" s="843">
        <f t="shared" si="21"/>
        <v>99.67311715481172</v>
      </c>
      <c r="T72" s="845" t="s">
        <v>105</v>
      </c>
    </row>
    <row r="73" spans="1:20" ht="92.4" x14ac:dyDescent="0.25">
      <c r="A73" s="847" t="s">
        <v>979</v>
      </c>
      <c r="B73" s="848"/>
      <c r="C73" s="849"/>
      <c r="D73" s="849"/>
      <c r="E73" s="849"/>
      <c r="F73" s="836"/>
      <c r="G73" s="836"/>
      <c r="H73" s="849"/>
      <c r="I73" s="849" t="s">
        <v>31</v>
      </c>
      <c r="J73" s="849" t="s">
        <v>31</v>
      </c>
      <c r="K73" s="849" t="s">
        <v>31</v>
      </c>
      <c r="L73" s="849" t="s">
        <v>31</v>
      </c>
      <c r="M73" s="849" t="s">
        <v>31</v>
      </c>
      <c r="N73" s="838"/>
      <c r="O73" s="849">
        <f>O74+O75+O76+O77+O78+O79+O80</f>
        <v>1551.6</v>
      </c>
      <c r="P73" s="849">
        <f>P74+P75+P76+P77+P78+P79+P80-0.1</f>
        <v>1527.6</v>
      </c>
      <c r="Q73" s="849">
        <f>Q74+Q75+Q76+Q77+Q78+Q79+Q80-0.1</f>
        <v>1493.4</v>
      </c>
      <c r="R73" s="836">
        <f t="shared" si="15"/>
        <v>96.249033255993822</v>
      </c>
      <c r="S73" s="836">
        <f t="shared" si="21"/>
        <v>97.761194029850756</v>
      </c>
      <c r="T73" s="838" t="s">
        <v>1399</v>
      </c>
    </row>
    <row r="74" spans="1:20" x14ac:dyDescent="0.25">
      <c r="A74" s="839" t="s">
        <v>1368</v>
      </c>
      <c r="B74" s="840">
        <v>72</v>
      </c>
      <c r="C74" s="841"/>
      <c r="D74" s="841"/>
      <c r="E74" s="841"/>
      <c r="F74" s="842"/>
      <c r="G74" s="843"/>
      <c r="H74" s="841"/>
      <c r="I74" s="841" t="s">
        <v>31</v>
      </c>
      <c r="J74" s="841" t="s">
        <v>31</v>
      </c>
      <c r="K74" s="841" t="s">
        <v>31</v>
      </c>
      <c r="L74" s="841" t="s">
        <v>31</v>
      </c>
      <c r="M74" s="841" t="s">
        <v>31</v>
      </c>
      <c r="N74" s="1069" t="s">
        <v>105</v>
      </c>
      <c r="O74" s="841">
        <v>0.2</v>
      </c>
      <c r="P74" s="841">
        <v>0.2</v>
      </c>
      <c r="Q74" s="841">
        <v>0.2</v>
      </c>
      <c r="R74" s="842">
        <f t="shared" si="15"/>
        <v>100</v>
      </c>
      <c r="S74" s="843">
        <f t="shared" si="21"/>
        <v>100</v>
      </c>
      <c r="T74" s="1069" t="s">
        <v>105</v>
      </c>
    </row>
    <row r="75" spans="1:20" x14ac:dyDescent="0.25">
      <c r="A75" s="839" t="s">
        <v>1079</v>
      </c>
      <c r="B75" s="840">
        <v>75</v>
      </c>
      <c r="C75" s="841"/>
      <c r="D75" s="841"/>
      <c r="E75" s="841"/>
      <c r="F75" s="842"/>
      <c r="G75" s="843"/>
      <c r="H75" s="841"/>
      <c r="I75" s="841" t="s">
        <v>31</v>
      </c>
      <c r="J75" s="841" t="s">
        <v>31</v>
      </c>
      <c r="K75" s="841" t="s">
        <v>31</v>
      </c>
      <c r="L75" s="841" t="s">
        <v>31</v>
      </c>
      <c r="M75" s="841" t="s">
        <v>31</v>
      </c>
      <c r="N75" s="1070"/>
      <c r="O75" s="841">
        <v>1.4</v>
      </c>
      <c r="P75" s="841">
        <v>1.4</v>
      </c>
      <c r="Q75" s="841">
        <v>1.4</v>
      </c>
      <c r="R75" s="842">
        <f t="shared" si="15"/>
        <v>100</v>
      </c>
      <c r="S75" s="843">
        <f t="shared" si="21"/>
        <v>100</v>
      </c>
      <c r="T75" s="1070"/>
    </row>
    <row r="76" spans="1:20" x14ac:dyDescent="0.25">
      <c r="A76" s="839" t="s">
        <v>1010</v>
      </c>
      <c r="B76" s="840">
        <v>90</v>
      </c>
      <c r="C76" s="841"/>
      <c r="D76" s="841"/>
      <c r="E76" s="841"/>
      <c r="F76" s="842"/>
      <c r="G76" s="843"/>
      <c r="H76" s="841"/>
      <c r="I76" s="841" t="s">
        <v>31</v>
      </c>
      <c r="J76" s="841" t="s">
        <v>31</v>
      </c>
      <c r="K76" s="841" t="s">
        <v>31</v>
      </c>
      <c r="L76" s="841" t="s">
        <v>31</v>
      </c>
      <c r="M76" s="841" t="s">
        <v>31</v>
      </c>
      <c r="N76" s="1070"/>
      <c r="O76" s="841">
        <v>75</v>
      </c>
      <c r="P76" s="841">
        <v>75</v>
      </c>
      <c r="Q76" s="841">
        <v>75</v>
      </c>
      <c r="R76" s="842">
        <f t="shared" si="15"/>
        <v>100</v>
      </c>
      <c r="S76" s="843">
        <f t="shared" si="21"/>
        <v>100</v>
      </c>
      <c r="T76" s="1070"/>
    </row>
    <row r="77" spans="1:20" x14ac:dyDescent="0.25">
      <c r="A77" s="839" t="s">
        <v>1033</v>
      </c>
      <c r="B77" s="840">
        <v>104</v>
      </c>
      <c r="C77" s="841"/>
      <c r="D77" s="841"/>
      <c r="E77" s="841"/>
      <c r="F77" s="842"/>
      <c r="G77" s="843"/>
      <c r="H77" s="841"/>
      <c r="I77" s="841" t="s">
        <v>31</v>
      </c>
      <c r="J77" s="841" t="s">
        <v>31</v>
      </c>
      <c r="K77" s="841" t="s">
        <v>31</v>
      </c>
      <c r="L77" s="841" t="s">
        <v>31</v>
      </c>
      <c r="M77" s="841" t="s">
        <v>31</v>
      </c>
      <c r="N77" s="1070"/>
      <c r="O77" s="841">
        <v>6.2</v>
      </c>
      <c r="P77" s="841">
        <v>6.2</v>
      </c>
      <c r="Q77" s="841">
        <v>6.2</v>
      </c>
      <c r="R77" s="842">
        <f t="shared" si="15"/>
        <v>100</v>
      </c>
      <c r="S77" s="843">
        <f t="shared" si="21"/>
        <v>100</v>
      </c>
      <c r="T77" s="1070"/>
    </row>
    <row r="78" spans="1:20" x14ac:dyDescent="0.25">
      <c r="A78" s="839" t="s">
        <v>1369</v>
      </c>
      <c r="B78" s="840">
        <v>301</v>
      </c>
      <c r="C78" s="841"/>
      <c r="D78" s="841"/>
      <c r="E78" s="841"/>
      <c r="F78" s="842"/>
      <c r="G78" s="843"/>
      <c r="H78" s="841"/>
      <c r="I78" s="841" t="s">
        <v>31</v>
      </c>
      <c r="J78" s="841" t="s">
        <v>31</v>
      </c>
      <c r="K78" s="841" t="s">
        <v>31</v>
      </c>
      <c r="L78" s="841" t="s">
        <v>31</v>
      </c>
      <c r="M78" s="841" t="s">
        <v>31</v>
      </c>
      <c r="N78" s="1070"/>
      <c r="O78" s="841">
        <v>932.8</v>
      </c>
      <c r="P78" s="841">
        <v>908.9</v>
      </c>
      <c r="Q78" s="841">
        <v>887.9</v>
      </c>
      <c r="R78" s="842">
        <f t="shared" si="15"/>
        <v>95.186535162950264</v>
      </c>
      <c r="S78" s="843">
        <f t="shared" si="21"/>
        <v>97.689514798107595</v>
      </c>
      <c r="T78" s="1070"/>
    </row>
    <row r="79" spans="1:20" x14ac:dyDescent="0.25">
      <c r="A79" s="839" t="s">
        <v>1400</v>
      </c>
      <c r="B79" s="840">
        <v>351</v>
      </c>
      <c r="C79" s="841"/>
      <c r="D79" s="841"/>
      <c r="E79" s="841"/>
      <c r="F79" s="842"/>
      <c r="G79" s="843"/>
      <c r="H79" s="841"/>
      <c r="I79" s="841" t="s">
        <v>31</v>
      </c>
      <c r="J79" s="841" t="s">
        <v>31</v>
      </c>
      <c r="K79" s="841" t="s">
        <v>31</v>
      </c>
      <c r="L79" s="841" t="s">
        <v>31</v>
      </c>
      <c r="M79" s="841" t="s">
        <v>31</v>
      </c>
      <c r="N79" s="1070"/>
      <c r="O79" s="841">
        <v>158.9</v>
      </c>
      <c r="P79" s="841">
        <v>158.9</v>
      </c>
      <c r="Q79" s="841">
        <v>145.80000000000001</v>
      </c>
      <c r="R79" s="842">
        <f t="shared" si="15"/>
        <v>91.755821271239782</v>
      </c>
      <c r="S79" s="843">
        <f t="shared" si="21"/>
        <v>91.755821271239782</v>
      </c>
      <c r="T79" s="1070"/>
    </row>
    <row r="80" spans="1:20" x14ac:dyDescent="0.25">
      <c r="A80" s="839" t="s">
        <v>1401</v>
      </c>
      <c r="B80" s="840">
        <v>435</v>
      </c>
      <c r="C80" s="841"/>
      <c r="D80" s="841"/>
      <c r="E80" s="841"/>
      <c r="F80" s="842"/>
      <c r="G80" s="843"/>
      <c r="H80" s="841"/>
      <c r="I80" s="841" t="s">
        <v>31</v>
      </c>
      <c r="J80" s="841" t="s">
        <v>31</v>
      </c>
      <c r="K80" s="841" t="s">
        <v>31</v>
      </c>
      <c r="L80" s="841" t="s">
        <v>31</v>
      </c>
      <c r="M80" s="841" t="s">
        <v>31</v>
      </c>
      <c r="N80" s="1071"/>
      <c r="O80" s="841">
        <v>377.1</v>
      </c>
      <c r="P80" s="841">
        <v>377.1</v>
      </c>
      <c r="Q80" s="841">
        <v>377</v>
      </c>
      <c r="R80" s="842">
        <f t="shared" si="15"/>
        <v>99.973481835057015</v>
      </c>
      <c r="S80" s="843">
        <f t="shared" si="21"/>
        <v>99.973481835057015</v>
      </c>
      <c r="T80" s="1071"/>
    </row>
    <row r="81" spans="1:20" ht="72" customHeight="1" x14ac:dyDescent="0.25">
      <c r="A81" s="834" t="s">
        <v>831</v>
      </c>
      <c r="B81" s="835"/>
      <c r="C81" s="836">
        <f>C82+C85+C83+C84</f>
        <v>3930.8</v>
      </c>
      <c r="D81" s="836">
        <f t="shared" ref="D81:E81" si="56">D82+D85+D83+D84</f>
        <v>3836.9</v>
      </c>
      <c r="E81" s="836">
        <f t="shared" si="56"/>
        <v>3836.6</v>
      </c>
      <c r="F81" s="836">
        <f t="shared" si="40"/>
        <v>97.603541263864855</v>
      </c>
      <c r="G81" s="836">
        <f t="shared" si="41"/>
        <v>99.992181187938172</v>
      </c>
      <c r="H81" s="837">
        <v>4358.3</v>
      </c>
      <c r="I81" s="836">
        <f>I82+I85</f>
        <v>4672.5212794899999</v>
      </c>
      <c r="J81" s="836">
        <f>J82+J85</f>
        <v>4548.8</v>
      </c>
      <c r="K81" s="836">
        <f t="shared" ref="K81" si="57">K82+K85</f>
        <v>4547.4921999999997</v>
      </c>
      <c r="L81" s="836">
        <f t="shared" si="19"/>
        <v>97.324162437979382</v>
      </c>
      <c r="M81" s="836">
        <f t="shared" si="22"/>
        <v>99.971249560323599</v>
      </c>
      <c r="N81" s="838" t="s">
        <v>1402</v>
      </c>
      <c r="O81" s="836">
        <f>O82+O85</f>
        <v>5806.5</v>
      </c>
      <c r="P81" s="836">
        <f>P82+P85</f>
        <v>5802.6</v>
      </c>
      <c r="Q81" s="836">
        <f t="shared" ref="Q81" si="58">Q82+Q85</f>
        <v>5800.9</v>
      </c>
      <c r="R81" s="836">
        <f t="shared" si="15"/>
        <v>99.903556359252548</v>
      </c>
      <c r="S81" s="836">
        <f t="shared" si="21"/>
        <v>99.970702788405191</v>
      </c>
      <c r="T81" s="838" t="s">
        <v>1403</v>
      </c>
    </row>
    <row r="82" spans="1:20" x14ac:dyDescent="0.25">
      <c r="A82" s="839" t="s">
        <v>1058</v>
      </c>
      <c r="B82" s="840">
        <v>23</v>
      </c>
      <c r="C82" s="841">
        <v>3864.8</v>
      </c>
      <c r="D82" s="841">
        <v>3770.9</v>
      </c>
      <c r="E82" s="841">
        <v>3770.7</v>
      </c>
      <c r="F82" s="842">
        <f t="shared" si="40"/>
        <v>97.565203891533841</v>
      </c>
      <c r="G82" s="843">
        <f t="shared" si="41"/>
        <v>99.994696226365051</v>
      </c>
      <c r="H82" s="841"/>
      <c r="I82" s="841">
        <v>4610.8</v>
      </c>
      <c r="J82" s="841">
        <v>4487.5</v>
      </c>
      <c r="K82" s="841">
        <v>4487.2916999999998</v>
      </c>
      <c r="L82" s="842">
        <f t="shared" si="19"/>
        <v>97.321326017177057</v>
      </c>
      <c r="M82" s="843">
        <f t="shared" si="22"/>
        <v>99.995358217270194</v>
      </c>
      <c r="N82" s="1069" t="s">
        <v>1364</v>
      </c>
      <c r="O82" s="841">
        <v>5744.7</v>
      </c>
      <c r="P82" s="841">
        <v>5741.1</v>
      </c>
      <c r="Q82" s="841">
        <v>5741</v>
      </c>
      <c r="R82" s="842">
        <f t="shared" si="15"/>
        <v>99.935592807283228</v>
      </c>
      <c r="S82" s="843">
        <f t="shared" si="21"/>
        <v>99.998258173520753</v>
      </c>
      <c r="T82" s="1069" t="s">
        <v>105</v>
      </c>
    </row>
    <row r="83" spans="1:20" hidden="1" x14ac:dyDescent="0.25">
      <c r="A83" s="839" t="s">
        <v>1368</v>
      </c>
      <c r="B83" s="840">
        <v>72</v>
      </c>
      <c r="C83" s="841">
        <v>3.5</v>
      </c>
      <c r="D83" s="841">
        <v>3.5</v>
      </c>
      <c r="E83" s="841">
        <v>3.5</v>
      </c>
      <c r="F83" s="842">
        <f t="shared" si="40"/>
        <v>100</v>
      </c>
      <c r="G83" s="843">
        <f t="shared" si="41"/>
        <v>100</v>
      </c>
      <c r="H83" s="841"/>
      <c r="I83" s="841"/>
      <c r="J83" s="841"/>
      <c r="K83" s="841"/>
      <c r="L83" s="842">
        <v>0</v>
      </c>
      <c r="M83" s="843">
        <v>0</v>
      </c>
      <c r="N83" s="1070"/>
      <c r="O83" s="841"/>
      <c r="P83" s="841"/>
      <c r="Q83" s="841"/>
      <c r="R83" s="842">
        <v>0</v>
      </c>
      <c r="S83" s="843">
        <v>0</v>
      </c>
      <c r="T83" s="1070"/>
    </row>
    <row r="84" spans="1:20" hidden="1" x14ac:dyDescent="0.25">
      <c r="A84" s="839" t="s">
        <v>1079</v>
      </c>
      <c r="B84" s="840">
        <v>75</v>
      </c>
      <c r="C84" s="841">
        <v>6.3</v>
      </c>
      <c r="D84" s="841">
        <v>6.3</v>
      </c>
      <c r="E84" s="841">
        <v>6.3</v>
      </c>
      <c r="F84" s="842">
        <f t="shared" si="40"/>
        <v>100</v>
      </c>
      <c r="G84" s="843">
        <f t="shared" si="41"/>
        <v>100</v>
      </c>
      <c r="H84" s="841"/>
      <c r="I84" s="841"/>
      <c r="J84" s="841"/>
      <c r="K84" s="841"/>
      <c r="L84" s="842">
        <v>0</v>
      </c>
      <c r="M84" s="843">
        <v>0</v>
      </c>
      <c r="N84" s="1070"/>
      <c r="O84" s="841"/>
      <c r="P84" s="841"/>
      <c r="Q84" s="841"/>
      <c r="R84" s="842">
        <v>0</v>
      </c>
      <c r="S84" s="843">
        <v>0</v>
      </c>
      <c r="T84" s="1070"/>
    </row>
    <row r="85" spans="1:20" x14ac:dyDescent="0.25">
      <c r="A85" s="839" t="s">
        <v>1404</v>
      </c>
      <c r="B85" s="840">
        <v>390</v>
      </c>
      <c r="C85" s="841">
        <v>56.2</v>
      </c>
      <c r="D85" s="841">
        <v>56.2</v>
      </c>
      <c r="E85" s="841">
        <v>56.1</v>
      </c>
      <c r="F85" s="842">
        <f t="shared" si="40"/>
        <v>99.822064056939496</v>
      </c>
      <c r="G85" s="843">
        <f t="shared" si="41"/>
        <v>99.822064056939496</v>
      </c>
      <c r="H85" s="841"/>
      <c r="I85" s="841">
        <f>61721279.49/1000000</f>
        <v>61.721279490000001</v>
      </c>
      <c r="J85" s="841">
        <v>61.3</v>
      </c>
      <c r="K85" s="841">
        <v>60.200499999999998</v>
      </c>
      <c r="L85" s="842">
        <f>K85/I85*100</f>
        <v>97.536053201479078</v>
      </c>
      <c r="M85" s="843">
        <f>K85/J85*100</f>
        <v>98.206362153344202</v>
      </c>
      <c r="N85" s="1071"/>
      <c r="O85" s="841">
        <v>61.8</v>
      </c>
      <c r="P85" s="841">
        <v>61.5</v>
      </c>
      <c r="Q85" s="841">
        <v>59.9</v>
      </c>
      <c r="R85" s="842">
        <f>Q85/O85*100</f>
        <v>96.925566343042064</v>
      </c>
      <c r="S85" s="843">
        <f>Q85/P85*100</f>
        <v>97.398373983739845</v>
      </c>
      <c r="T85" s="1071"/>
    </row>
    <row r="86" spans="1:20" ht="52.8" x14ac:dyDescent="0.25">
      <c r="A86" s="834" t="s">
        <v>865</v>
      </c>
      <c r="B86" s="835"/>
      <c r="C86" s="836">
        <f>C87+C89</f>
        <v>5323.9000000000005</v>
      </c>
      <c r="D86" s="836">
        <f t="shared" ref="D86:E86" si="59">D87+D89</f>
        <v>5236.9000000000005</v>
      </c>
      <c r="E86" s="836">
        <f t="shared" si="59"/>
        <v>5203</v>
      </c>
      <c r="F86" s="836">
        <f t="shared" si="40"/>
        <v>97.729108360412468</v>
      </c>
      <c r="G86" s="836">
        <f t="shared" si="41"/>
        <v>99.352670472989729</v>
      </c>
      <c r="H86" s="837">
        <v>7619</v>
      </c>
      <c r="I86" s="836">
        <f>I87+I89+I88</f>
        <v>7690.6</v>
      </c>
      <c r="J86" s="836">
        <f t="shared" ref="J86:K86" si="60">J87+J89+J88</f>
        <v>7548.4000000000005</v>
      </c>
      <c r="K86" s="836">
        <f t="shared" si="60"/>
        <v>7546.9306999999999</v>
      </c>
      <c r="L86" s="836">
        <f t="shared" ref="L86:L99" si="61">K86/I86*100</f>
        <v>98.131884378331975</v>
      </c>
      <c r="M86" s="836">
        <f t="shared" ref="M86:M99" si="62">K86/J86*100</f>
        <v>99.980534947803505</v>
      </c>
      <c r="N86" s="838" t="s">
        <v>1377</v>
      </c>
      <c r="O86" s="836">
        <f>O87+O89+O88</f>
        <v>10914.9</v>
      </c>
      <c r="P86" s="836">
        <f t="shared" ref="P86:Q86" si="63">P87+P89+P88</f>
        <v>10678.9</v>
      </c>
      <c r="Q86" s="836">
        <f t="shared" si="63"/>
        <v>10590.199999999999</v>
      </c>
      <c r="R86" s="836">
        <f t="shared" ref="R86:R100" si="64">Q86/O86*100</f>
        <v>97.025167431675968</v>
      </c>
      <c r="S86" s="836">
        <f t="shared" ref="S86:S93" si="65">Q86/P86*100</f>
        <v>99.169390105722485</v>
      </c>
      <c r="T86" s="838" t="s">
        <v>1405</v>
      </c>
    </row>
    <row r="87" spans="1:20" x14ac:dyDescent="0.25">
      <c r="A87" s="839" t="s">
        <v>1105</v>
      </c>
      <c r="B87" s="840">
        <v>62</v>
      </c>
      <c r="C87" s="841">
        <v>3.8</v>
      </c>
      <c r="D87" s="841">
        <v>3.8</v>
      </c>
      <c r="E87" s="841">
        <v>3.8</v>
      </c>
      <c r="F87" s="842">
        <f t="shared" si="40"/>
        <v>100</v>
      </c>
      <c r="G87" s="843">
        <f t="shared" si="41"/>
        <v>100</v>
      </c>
      <c r="H87" s="841"/>
      <c r="I87" s="841"/>
      <c r="J87" s="841"/>
      <c r="K87" s="841"/>
      <c r="L87" s="842"/>
      <c r="M87" s="843"/>
      <c r="N87" s="1069" t="s">
        <v>1364</v>
      </c>
      <c r="O87" s="841">
        <v>0.3</v>
      </c>
      <c r="P87" s="841">
        <v>0.3</v>
      </c>
      <c r="Q87" s="841">
        <v>0.3</v>
      </c>
      <c r="R87" s="842">
        <f t="shared" si="64"/>
        <v>100</v>
      </c>
      <c r="S87" s="843">
        <f t="shared" si="65"/>
        <v>100</v>
      </c>
      <c r="T87" s="1069" t="s">
        <v>105</v>
      </c>
    </row>
    <row r="88" spans="1:20" x14ac:dyDescent="0.25">
      <c r="A88" s="839" t="s">
        <v>1368</v>
      </c>
      <c r="B88" s="840">
        <v>72</v>
      </c>
      <c r="C88" s="841">
        <v>3.8</v>
      </c>
      <c r="D88" s="841">
        <v>3.8</v>
      </c>
      <c r="E88" s="841">
        <v>3.8</v>
      </c>
      <c r="F88" s="842">
        <f t="shared" si="40"/>
        <v>100</v>
      </c>
      <c r="G88" s="843">
        <f t="shared" si="41"/>
        <v>100</v>
      </c>
      <c r="H88" s="841"/>
      <c r="I88" s="841">
        <v>15.1</v>
      </c>
      <c r="J88" s="841">
        <v>15.1</v>
      </c>
      <c r="K88" s="841">
        <v>15.0684</v>
      </c>
      <c r="L88" s="842">
        <f t="shared" ref="L88" si="66">K88/I88*100</f>
        <v>99.790728476821201</v>
      </c>
      <c r="M88" s="843">
        <f t="shared" ref="M88" si="67">K88/J88*100</f>
        <v>99.790728476821201</v>
      </c>
      <c r="N88" s="1070"/>
      <c r="O88" s="841">
        <v>80</v>
      </c>
      <c r="P88" s="841">
        <v>80</v>
      </c>
      <c r="Q88" s="841">
        <v>80</v>
      </c>
      <c r="R88" s="842">
        <f t="shared" si="64"/>
        <v>100</v>
      </c>
      <c r="S88" s="843">
        <f t="shared" si="65"/>
        <v>100</v>
      </c>
      <c r="T88" s="1070"/>
    </row>
    <row r="89" spans="1:20" x14ac:dyDescent="0.25">
      <c r="A89" s="839" t="s">
        <v>1033</v>
      </c>
      <c r="B89" s="840">
        <v>104</v>
      </c>
      <c r="C89" s="841">
        <v>5320.1</v>
      </c>
      <c r="D89" s="841">
        <v>5233.1000000000004</v>
      </c>
      <c r="E89" s="841">
        <v>5199.2</v>
      </c>
      <c r="F89" s="842">
        <f t="shared" si="40"/>
        <v>97.727486325445</v>
      </c>
      <c r="G89" s="843">
        <f t="shared" si="41"/>
        <v>99.352200416579066</v>
      </c>
      <c r="H89" s="841"/>
      <c r="I89" s="841">
        <v>7675.5</v>
      </c>
      <c r="J89" s="841">
        <v>7533.3</v>
      </c>
      <c r="K89" s="841">
        <v>7531.8622999999998</v>
      </c>
      <c r="L89" s="842">
        <f t="shared" si="61"/>
        <v>98.128620936746785</v>
      </c>
      <c r="M89" s="843">
        <f t="shared" si="62"/>
        <v>99.98091540228053</v>
      </c>
      <c r="N89" s="1071"/>
      <c r="O89" s="841">
        <v>10834.6</v>
      </c>
      <c r="P89" s="841">
        <v>10598.6</v>
      </c>
      <c r="Q89" s="841">
        <v>10509.9</v>
      </c>
      <c r="R89" s="842">
        <f t="shared" si="64"/>
        <v>97.003119635242641</v>
      </c>
      <c r="S89" s="843">
        <f t="shared" si="65"/>
        <v>99.163097012813012</v>
      </c>
      <c r="T89" s="1071"/>
    </row>
    <row r="90" spans="1:20" ht="52.8" x14ac:dyDescent="0.25">
      <c r="A90" s="834" t="s">
        <v>780</v>
      </c>
      <c r="B90" s="835"/>
      <c r="C90" s="836">
        <f>C91+C92</f>
        <v>716.90000000000009</v>
      </c>
      <c r="D90" s="836">
        <f t="shared" ref="D90" si="68">D91+D92</f>
        <v>512.20000000000005</v>
      </c>
      <c r="E90" s="836">
        <f>E91+E92</f>
        <v>504.6</v>
      </c>
      <c r="F90" s="836">
        <f t="shared" si="40"/>
        <v>70.386385827869987</v>
      </c>
      <c r="G90" s="836">
        <f t="shared" si="41"/>
        <v>98.516204607575162</v>
      </c>
      <c r="H90" s="837">
        <v>2258.3000000000002</v>
      </c>
      <c r="I90" s="836">
        <f>I91+I92</f>
        <v>1851.9395999999999</v>
      </c>
      <c r="J90" s="836">
        <f t="shared" ref="J90:K90" si="69">J91+J92</f>
        <v>1525.1</v>
      </c>
      <c r="K90" s="836">
        <f t="shared" si="69"/>
        <v>1524.8099</v>
      </c>
      <c r="L90" s="836">
        <f t="shared" si="61"/>
        <v>82.335833198879698</v>
      </c>
      <c r="M90" s="836">
        <f t="shared" si="62"/>
        <v>99.980978296505157</v>
      </c>
      <c r="N90" s="838" t="s">
        <v>1406</v>
      </c>
      <c r="O90" s="836">
        <f>O91+O92</f>
        <v>1530.7</v>
      </c>
      <c r="P90" s="836">
        <f t="shared" ref="P90" si="70">P91+P92</f>
        <v>1165.9000000000001</v>
      </c>
      <c r="Q90" s="836">
        <f>Q91+Q92-0.1</f>
        <v>1165.7</v>
      </c>
      <c r="R90" s="836">
        <f t="shared" si="64"/>
        <v>76.154700463840072</v>
      </c>
      <c r="S90" s="836">
        <f t="shared" si="65"/>
        <v>99.982845870143237</v>
      </c>
      <c r="T90" s="838" t="s">
        <v>1407</v>
      </c>
    </row>
    <row r="91" spans="1:20" x14ac:dyDescent="0.25">
      <c r="A91" s="839" t="s">
        <v>1050</v>
      </c>
      <c r="B91" s="840">
        <v>19</v>
      </c>
      <c r="C91" s="841">
        <v>443.3</v>
      </c>
      <c r="D91" s="841">
        <v>443.3</v>
      </c>
      <c r="E91" s="841">
        <v>436.3</v>
      </c>
      <c r="F91" s="842">
        <f t="shared" si="40"/>
        <v>98.420933904804869</v>
      </c>
      <c r="G91" s="843">
        <f t="shared" si="41"/>
        <v>98.420933904804869</v>
      </c>
      <c r="H91" s="841"/>
      <c r="I91" s="841">
        <f>1635.7+192.8</f>
        <v>1828.5</v>
      </c>
      <c r="J91" s="841">
        <v>1504.5</v>
      </c>
      <c r="K91" s="841">
        <v>1504.4546</v>
      </c>
      <c r="L91" s="842">
        <f t="shared" si="61"/>
        <v>82.278074924801743</v>
      </c>
      <c r="M91" s="843">
        <f t="shared" si="62"/>
        <v>99.996982386174821</v>
      </c>
      <c r="N91" s="1069"/>
      <c r="O91" s="841">
        <v>1504</v>
      </c>
      <c r="P91" s="841">
        <v>1139.5</v>
      </c>
      <c r="Q91" s="841">
        <v>1139.5</v>
      </c>
      <c r="R91" s="842">
        <f t="shared" si="64"/>
        <v>75.764627659574472</v>
      </c>
      <c r="S91" s="843">
        <f t="shared" si="65"/>
        <v>100</v>
      </c>
      <c r="T91" s="1069" t="s">
        <v>105</v>
      </c>
    </row>
    <row r="92" spans="1:20" x14ac:dyDescent="0.25">
      <c r="A92" s="839" t="s">
        <v>1408</v>
      </c>
      <c r="B92" s="840">
        <v>349</v>
      </c>
      <c r="C92" s="841">
        <v>273.60000000000002</v>
      </c>
      <c r="D92" s="841">
        <v>68.900000000000006</v>
      </c>
      <c r="E92" s="841">
        <v>68.3</v>
      </c>
      <c r="F92" s="842">
        <f t="shared" si="40"/>
        <v>24.963450292397656</v>
      </c>
      <c r="G92" s="843">
        <f t="shared" si="41"/>
        <v>99.129172714078365</v>
      </c>
      <c r="H92" s="841"/>
      <c r="I92" s="841">
        <v>23.439599999999999</v>
      </c>
      <c r="J92" s="841">
        <v>20.6</v>
      </c>
      <c r="K92" s="841">
        <v>20.3553</v>
      </c>
      <c r="L92" s="842">
        <f t="shared" si="61"/>
        <v>86.841499001689442</v>
      </c>
      <c r="M92" s="843">
        <f t="shared" si="62"/>
        <v>98.812135922330086</v>
      </c>
      <c r="N92" s="1071"/>
      <c r="O92" s="841">
        <v>26.7</v>
      </c>
      <c r="P92" s="841">
        <v>26.4</v>
      </c>
      <c r="Q92" s="841">
        <v>26.3</v>
      </c>
      <c r="R92" s="842">
        <f t="shared" si="64"/>
        <v>98.501872659176044</v>
      </c>
      <c r="S92" s="843">
        <f t="shared" si="65"/>
        <v>99.621212121212139</v>
      </c>
      <c r="T92" s="1071"/>
    </row>
    <row r="93" spans="1:20" ht="52.8" x14ac:dyDescent="0.25">
      <c r="A93" s="834" t="s">
        <v>967</v>
      </c>
      <c r="B93" s="835"/>
      <c r="C93" s="836">
        <f>C94+C95</f>
        <v>81.900000000000006</v>
      </c>
      <c r="D93" s="836">
        <f t="shared" ref="D93" si="71">D94+D95</f>
        <v>81.900000000000006</v>
      </c>
      <c r="E93" s="836">
        <f>E94+E95</f>
        <v>81.8</v>
      </c>
      <c r="F93" s="836">
        <f t="shared" si="40"/>
        <v>99.877899877899864</v>
      </c>
      <c r="G93" s="836">
        <f t="shared" si="41"/>
        <v>99.877899877899864</v>
      </c>
      <c r="H93" s="837">
        <v>101.4</v>
      </c>
      <c r="I93" s="836">
        <f>I94+I95</f>
        <v>100.7</v>
      </c>
      <c r="J93" s="836">
        <f t="shared" ref="J93:K93" si="72">J94+J95</f>
        <v>100.7</v>
      </c>
      <c r="K93" s="836">
        <f t="shared" si="72"/>
        <v>98.439499999999995</v>
      </c>
      <c r="L93" s="836">
        <f t="shared" si="61"/>
        <v>97.755213505461754</v>
      </c>
      <c r="M93" s="836">
        <f t="shared" si="62"/>
        <v>97.755213505461754</v>
      </c>
      <c r="N93" s="838" t="s">
        <v>1409</v>
      </c>
      <c r="O93" s="836">
        <f>O94+O95</f>
        <v>126.7</v>
      </c>
      <c r="P93" s="836">
        <f t="shared" ref="P93:Q93" si="73">P94+P95</f>
        <v>126.5</v>
      </c>
      <c r="Q93" s="836">
        <f t="shared" si="73"/>
        <v>126.4</v>
      </c>
      <c r="R93" s="836">
        <f t="shared" si="64"/>
        <v>99.763220205209151</v>
      </c>
      <c r="S93" s="836">
        <f t="shared" si="65"/>
        <v>99.920948616600796</v>
      </c>
      <c r="T93" s="838" t="s">
        <v>1410</v>
      </c>
    </row>
    <row r="94" spans="1:20" x14ac:dyDescent="0.25">
      <c r="A94" s="839" t="s">
        <v>1368</v>
      </c>
      <c r="B94" s="840">
        <v>72</v>
      </c>
      <c r="C94" s="841"/>
      <c r="D94" s="841"/>
      <c r="E94" s="841"/>
      <c r="F94" s="842">
        <v>0</v>
      </c>
      <c r="G94" s="843">
        <v>0</v>
      </c>
      <c r="H94" s="841"/>
      <c r="I94" s="841">
        <v>9.3000000000000007</v>
      </c>
      <c r="J94" s="841">
        <v>9.3000000000000007</v>
      </c>
      <c r="K94" s="841">
        <v>9.3000000000000007</v>
      </c>
      <c r="L94" s="842">
        <f t="shared" si="61"/>
        <v>100</v>
      </c>
      <c r="M94" s="843">
        <f t="shared" si="62"/>
        <v>100</v>
      </c>
      <c r="N94" s="1069" t="s">
        <v>1364</v>
      </c>
      <c r="O94" s="841"/>
      <c r="P94" s="841"/>
      <c r="Q94" s="841"/>
      <c r="R94" s="842">
        <v>0</v>
      </c>
      <c r="S94" s="843">
        <v>0</v>
      </c>
      <c r="T94" s="1069" t="s">
        <v>105</v>
      </c>
    </row>
    <row r="95" spans="1:20" x14ac:dyDescent="0.25">
      <c r="A95" s="839" t="s">
        <v>1411</v>
      </c>
      <c r="B95" s="840">
        <v>163</v>
      </c>
      <c r="C95" s="841">
        <v>81.900000000000006</v>
      </c>
      <c r="D95" s="841">
        <v>81.900000000000006</v>
      </c>
      <c r="E95" s="841">
        <v>81.8</v>
      </c>
      <c r="F95" s="842">
        <f t="shared" ref="F95:F117" si="74">E95/C95*100</f>
        <v>99.877899877899864</v>
      </c>
      <c r="G95" s="843">
        <f t="shared" ref="G95:G117" si="75">E95/D95*100</f>
        <v>99.877899877899864</v>
      </c>
      <c r="H95" s="841"/>
      <c r="I95" s="841">
        <v>91.4</v>
      </c>
      <c r="J95" s="841">
        <v>91.4</v>
      </c>
      <c r="K95" s="841">
        <v>89.139499999999998</v>
      </c>
      <c r="L95" s="842">
        <f t="shared" si="61"/>
        <v>97.526805251641122</v>
      </c>
      <c r="M95" s="843">
        <f t="shared" si="62"/>
        <v>97.526805251641122</v>
      </c>
      <c r="N95" s="1071"/>
      <c r="O95" s="841">
        <v>126.7</v>
      </c>
      <c r="P95" s="841">
        <v>126.5</v>
      </c>
      <c r="Q95" s="841">
        <v>126.4</v>
      </c>
      <c r="R95" s="842">
        <f t="shared" si="64"/>
        <v>99.763220205209151</v>
      </c>
      <c r="S95" s="843">
        <f t="shared" ref="S95:S100" si="76">Q95/P95*100</f>
        <v>99.920948616600796</v>
      </c>
      <c r="T95" s="1071"/>
    </row>
    <row r="96" spans="1:20" ht="66" x14ac:dyDescent="0.25">
      <c r="A96" s="834" t="s">
        <v>897</v>
      </c>
      <c r="B96" s="835"/>
      <c r="C96" s="836">
        <f>C97+C98+C99</f>
        <v>6247</v>
      </c>
      <c r="D96" s="836">
        <f t="shared" ref="D96:E96" si="77">D97+D98+D99</f>
        <v>6203.5</v>
      </c>
      <c r="E96" s="836">
        <f t="shared" si="77"/>
        <v>6199.5999999999995</v>
      </c>
      <c r="F96" s="836">
        <f t="shared" si="74"/>
        <v>99.241235793180721</v>
      </c>
      <c r="G96" s="836">
        <f t="shared" si="75"/>
        <v>99.937132264044479</v>
      </c>
      <c r="H96" s="837">
        <v>8525.7000000000007</v>
      </c>
      <c r="I96" s="836">
        <f>I97+I98+I99</f>
        <v>7709.71629545</v>
      </c>
      <c r="J96" s="836">
        <f t="shared" ref="J96:K96" si="78">J97+J98+J99</f>
        <v>7663.9000000000005</v>
      </c>
      <c r="K96" s="836">
        <f t="shared" si="78"/>
        <v>7649.3648000000003</v>
      </c>
      <c r="L96" s="836">
        <f t="shared" si="61"/>
        <v>99.217202123434589</v>
      </c>
      <c r="M96" s="836">
        <f t="shared" si="62"/>
        <v>99.810341992980071</v>
      </c>
      <c r="N96" s="838" t="s">
        <v>1412</v>
      </c>
      <c r="O96" s="836">
        <f>O97+O98+O99</f>
        <v>7507</v>
      </c>
      <c r="P96" s="836">
        <f t="shared" ref="P96:Q96" si="79">P97+P98+P99</f>
        <v>7487.9</v>
      </c>
      <c r="Q96" s="836">
        <f t="shared" si="79"/>
        <v>7484.3</v>
      </c>
      <c r="R96" s="836">
        <f t="shared" si="64"/>
        <v>99.697615558811776</v>
      </c>
      <c r="S96" s="836">
        <f t="shared" si="76"/>
        <v>99.951922434861586</v>
      </c>
      <c r="T96" s="838" t="s">
        <v>1413</v>
      </c>
    </row>
    <row r="97" spans="1:20" x14ac:dyDescent="0.25">
      <c r="A97" s="839" t="s">
        <v>1368</v>
      </c>
      <c r="B97" s="840">
        <v>72</v>
      </c>
      <c r="C97" s="841">
        <v>54.9</v>
      </c>
      <c r="D97" s="841">
        <v>54.9</v>
      </c>
      <c r="E97" s="841">
        <v>54.9</v>
      </c>
      <c r="F97" s="842">
        <f t="shared" si="74"/>
        <v>100</v>
      </c>
      <c r="G97" s="843">
        <f t="shared" si="75"/>
        <v>100</v>
      </c>
      <c r="H97" s="841"/>
      <c r="I97" s="841">
        <f>26000000/1000000</f>
        <v>26</v>
      </c>
      <c r="J97" s="841">
        <v>26</v>
      </c>
      <c r="K97" s="841">
        <v>26</v>
      </c>
      <c r="L97" s="842">
        <f t="shared" si="61"/>
        <v>100</v>
      </c>
      <c r="M97" s="843">
        <f t="shared" si="62"/>
        <v>100</v>
      </c>
      <c r="N97" s="1069" t="s">
        <v>1364</v>
      </c>
      <c r="O97" s="841"/>
      <c r="P97" s="841"/>
      <c r="Q97" s="841"/>
      <c r="R97" s="842">
        <v>0</v>
      </c>
      <c r="S97" s="843">
        <v>0</v>
      </c>
      <c r="T97" s="1069" t="s">
        <v>105</v>
      </c>
    </row>
    <row r="98" spans="1:20" x14ac:dyDescent="0.25">
      <c r="A98" s="839" t="s">
        <v>1010</v>
      </c>
      <c r="B98" s="840">
        <v>90</v>
      </c>
      <c r="C98" s="841">
        <v>6165.6</v>
      </c>
      <c r="D98" s="841">
        <v>6122.1</v>
      </c>
      <c r="E98" s="841">
        <v>6118.2</v>
      </c>
      <c r="F98" s="842">
        <f t="shared" si="74"/>
        <v>99.231218372907733</v>
      </c>
      <c r="G98" s="843">
        <f t="shared" si="75"/>
        <v>99.936296368893025</v>
      </c>
      <c r="H98" s="841"/>
      <c r="I98" s="841">
        <v>7656.1</v>
      </c>
      <c r="J98" s="841">
        <v>7610.3</v>
      </c>
      <c r="K98" s="841">
        <v>7595.9494000000004</v>
      </c>
      <c r="L98" s="842">
        <f t="shared" si="61"/>
        <v>99.214344117762309</v>
      </c>
      <c r="M98" s="843">
        <f t="shared" si="62"/>
        <v>99.811431875221743</v>
      </c>
      <c r="N98" s="1070"/>
      <c r="O98" s="841">
        <v>7477.5</v>
      </c>
      <c r="P98" s="841">
        <v>7458.4</v>
      </c>
      <c r="Q98" s="841">
        <v>7455</v>
      </c>
      <c r="R98" s="842">
        <f t="shared" si="64"/>
        <v>99.699097291875631</v>
      </c>
      <c r="S98" s="843">
        <f t="shared" si="76"/>
        <v>99.95441381529551</v>
      </c>
      <c r="T98" s="1070"/>
    </row>
    <row r="99" spans="1:20" x14ac:dyDescent="0.25">
      <c r="A99" s="839" t="s">
        <v>1414</v>
      </c>
      <c r="B99" s="840">
        <v>730</v>
      </c>
      <c r="C99" s="841">
        <v>26.5</v>
      </c>
      <c r="D99" s="841">
        <v>26.5</v>
      </c>
      <c r="E99" s="841">
        <v>26.5</v>
      </c>
      <c r="F99" s="842">
        <f t="shared" si="74"/>
        <v>100</v>
      </c>
      <c r="G99" s="843">
        <f t="shared" si="75"/>
        <v>100</v>
      </c>
      <c r="H99" s="841"/>
      <c r="I99" s="841">
        <f>27616295.45/1000000</f>
        <v>27.616295449999999</v>
      </c>
      <c r="J99" s="841">
        <v>27.6</v>
      </c>
      <c r="K99" s="841">
        <v>27.415400000000002</v>
      </c>
      <c r="L99" s="842">
        <f t="shared" si="61"/>
        <v>99.272547433584194</v>
      </c>
      <c r="M99" s="843">
        <f t="shared" si="62"/>
        <v>99.331159420289865</v>
      </c>
      <c r="N99" s="1071"/>
      <c r="O99" s="841">
        <v>29.5</v>
      </c>
      <c r="P99" s="841">
        <v>29.5</v>
      </c>
      <c r="Q99" s="841">
        <v>29.3</v>
      </c>
      <c r="R99" s="842">
        <f t="shared" si="64"/>
        <v>99.322033898305079</v>
      </c>
      <c r="S99" s="843">
        <f t="shared" si="76"/>
        <v>99.322033898305079</v>
      </c>
      <c r="T99" s="1071"/>
    </row>
    <row r="100" spans="1:20" ht="52.8" x14ac:dyDescent="0.25">
      <c r="A100" s="834" t="s">
        <v>733</v>
      </c>
      <c r="B100" s="835"/>
      <c r="C100" s="836">
        <f>C101+C102+C105+C106+C108</f>
        <v>0</v>
      </c>
      <c r="D100" s="836">
        <f>D101+D102+D105+D106+D108-0.1</f>
        <v>-0.1</v>
      </c>
      <c r="E100" s="836">
        <f>E101+E102+E105+E106+E108</f>
        <v>0</v>
      </c>
      <c r="F100" s="836" t="e">
        <f t="shared" si="74"/>
        <v>#DIV/0!</v>
      </c>
      <c r="G100" s="836">
        <f t="shared" si="75"/>
        <v>0</v>
      </c>
      <c r="H100" s="837">
        <v>398.7</v>
      </c>
      <c r="I100" s="836" t="s">
        <v>31</v>
      </c>
      <c r="J100" s="836" t="s">
        <v>31</v>
      </c>
      <c r="K100" s="836" t="s">
        <v>31</v>
      </c>
      <c r="L100" s="836" t="s">
        <v>31</v>
      </c>
      <c r="M100" s="836" t="s">
        <v>31</v>
      </c>
      <c r="N100" s="838" t="s">
        <v>1415</v>
      </c>
      <c r="O100" s="836">
        <f>O101+O102+O103+O104+O105+O106+O107+O108+0.1</f>
        <v>1458.5999999999995</v>
      </c>
      <c r="P100" s="836">
        <f t="shared" ref="P100:Q100" si="80">P101+P102+P103+P104+P105+P106+P107+P108</f>
        <v>1430.1999999999998</v>
      </c>
      <c r="Q100" s="836">
        <f t="shared" si="80"/>
        <v>1428.9999999999998</v>
      </c>
      <c r="R100" s="836">
        <f t="shared" si="64"/>
        <v>97.970656794186226</v>
      </c>
      <c r="S100" s="836">
        <f t="shared" si="76"/>
        <v>99.916095650957899</v>
      </c>
      <c r="T100" s="838" t="s">
        <v>1416</v>
      </c>
    </row>
    <row r="101" spans="1:20" x14ac:dyDescent="0.25">
      <c r="A101" s="839" t="s">
        <v>1050</v>
      </c>
      <c r="B101" s="840">
        <v>19</v>
      </c>
      <c r="C101" s="841"/>
      <c r="D101" s="841"/>
      <c r="E101" s="841"/>
      <c r="F101" s="842"/>
      <c r="G101" s="843"/>
      <c r="H101" s="841"/>
      <c r="I101" s="841" t="s">
        <v>31</v>
      </c>
      <c r="J101" s="841" t="s">
        <v>31</v>
      </c>
      <c r="K101" s="841" t="s">
        <v>31</v>
      </c>
      <c r="L101" s="841" t="s">
        <v>31</v>
      </c>
      <c r="M101" s="841" t="s">
        <v>31</v>
      </c>
      <c r="N101" s="1069" t="s">
        <v>105</v>
      </c>
      <c r="O101" s="841">
        <v>703.8</v>
      </c>
      <c r="P101" s="841">
        <v>679.8</v>
      </c>
      <c r="Q101" s="841">
        <v>679.8</v>
      </c>
      <c r="R101" s="842">
        <f>Q101/O101*100</f>
        <v>96.589940323955673</v>
      </c>
      <c r="S101" s="843">
        <f>Q101/P101*100</f>
        <v>100</v>
      </c>
      <c r="T101" s="1069" t="s">
        <v>105</v>
      </c>
    </row>
    <row r="102" spans="1:20" x14ac:dyDescent="0.25">
      <c r="A102" s="839" t="s">
        <v>1058</v>
      </c>
      <c r="B102" s="840">
        <v>23</v>
      </c>
      <c r="C102" s="841"/>
      <c r="D102" s="841"/>
      <c r="E102" s="841"/>
      <c r="F102" s="842"/>
      <c r="G102" s="843"/>
      <c r="H102" s="841"/>
      <c r="I102" s="841" t="s">
        <v>31</v>
      </c>
      <c r="J102" s="841" t="s">
        <v>31</v>
      </c>
      <c r="K102" s="841" t="s">
        <v>31</v>
      </c>
      <c r="L102" s="841" t="s">
        <v>31</v>
      </c>
      <c r="M102" s="841" t="s">
        <v>31</v>
      </c>
      <c r="N102" s="1070"/>
      <c r="O102" s="841">
        <v>30.3</v>
      </c>
      <c r="P102" s="841">
        <v>30.2</v>
      </c>
      <c r="Q102" s="841">
        <v>30.2</v>
      </c>
      <c r="R102" s="842">
        <f t="shared" ref="R102:R108" si="81">Q102/O102*100</f>
        <v>99.669966996699671</v>
      </c>
      <c r="S102" s="843">
        <f t="shared" ref="S102:S108" si="82">Q102/P102*100</f>
        <v>100</v>
      </c>
      <c r="T102" s="1070"/>
    </row>
    <row r="103" spans="1:20" x14ac:dyDescent="0.25">
      <c r="A103" s="839" t="s">
        <v>1091</v>
      </c>
      <c r="B103" s="840">
        <v>69</v>
      </c>
      <c r="C103" s="841"/>
      <c r="D103" s="841"/>
      <c r="E103" s="841"/>
      <c r="F103" s="842"/>
      <c r="G103" s="843"/>
      <c r="H103" s="841"/>
      <c r="I103" s="841" t="s">
        <v>31</v>
      </c>
      <c r="J103" s="841" t="s">
        <v>31</v>
      </c>
      <c r="K103" s="841" t="s">
        <v>31</v>
      </c>
      <c r="L103" s="841" t="s">
        <v>31</v>
      </c>
      <c r="M103" s="841" t="s">
        <v>31</v>
      </c>
      <c r="N103" s="1070"/>
      <c r="O103" s="841">
        <v>75.8</v>
      </c>
      <c r="P103" s="841">
        <v>75.8</v>
      </c>
      <c r="Q103" s="841">
        <v>75.8</v>
      </c>
      <c r="R103" s="842">
        <f t="shared" si="81"/>
        <v>100</v>
      </c>
      <c r="S103" s="843">
        <f t="shared" si="82"/>
        <v>100</v>
      </c>
      <c r="T103" s="1070"/>
    </row>
    <row r="104" spans="1:20" x14ac:dyDescent="0.25">
      <c r="A104" s="839" t="s">
        <v>1079</v>
      </c>
      <c r="B104" s="840">
        <v>75</v>
      </c>
      <c r="C104" s="841"/>
      <c r="D104" s="841"/>
      <c r="E104" s="841"/>
      <c r="F104" s="842"/>
      <c r="G104" s="843"/>
      <c r="H104" s="841"/>
      <c r="I104" s="841" t="s">
        <v>31</v>
      </c>
      <c r="J104" s="841" t="s">
        <v>31</v>
      </c>
      <c r="K104" s="841" t="s">
        <v>31</v>
      </c>
      <c r="L104" s="841" t="s">
        <v>31</v>
      </c>
      <c r="M104" s="841" t="s">
        <v>31</v>
      </c>
      <c r="N104" s="1070"/>
      <c r="O104" s="841">
        <v>27.7</v>
      </c>
      <c r="P104" s="841">
        <v>27.1</v>
      </c>
      <c r="Q104" s="841">
        <v>27.1</v>
      </c>
      <c r="R104" s="842">
        <f t="shared" si="81"/>
        <v>97.833935018050539</v>
      </c>
      <c r="S104" s="843">
        <f t="shared" si="82"/>
        <v>100</v>
      </c>
      <c r="T104" s="1070"/>
    </row>
    <row r="105" spans="1:20" x14ac:dyDescent="0.25">
      <c r="A105" s="839" t="s">
        <v>1375</v>
      </c>
      <c r="B105" s="840">
        <v>83</v>
      </c>
      <c r="C105" s="841"/>
      <c r="D105" s="841"/>
      <c r="E105" s="841"/>
      <c r="F105" s="842"/>
      <c r="G105" s="843"/>
      <c r="H105" s="841"/>
      <c r="I105" s="841" t="s">
        <v>31</v>
      </c>
      <c r="J105" s="841" t="s">
        <v>31</v>
      </c>
      <c r="K105" s="841" t="s">
        <v>31</v>
      </c>
      <c r="L105" s="841" t="s">
        <v>31</v>
      </c>
      <c r="M105" s="841" t="s">
        <v>31</v>
      </c>
      <c r="N105" s="1070"/>
      <c r="O105" s="841">
        <v>48.8</v>
      </c>
      <c r="P105" s="841">
        <v>48.8</v>
      </c>
      <c r="Q105" s="841">
        <v>47.6</v>
      </c>
      <c r="R105" s="842">
        <f t="shared" si="81"/>
        <v>97.54098360655739</v>
      </c>
      <c r="S105" s="843">
        <f t="shared" si="82"/>
        <v>97.54098360655739</v>
      </c>
      <c r="T105" s="1070"/>
    </row>
    <row r="106" spans="1:20" x14ac:dyDescent="0.25">
      <c r="A106" s="839" t="s">
        <v>1033</v>
      </c>
      <c r="B106" s="840">
        <v>104</v>
      </c>
      <c r="C106" s="841"/>
      <c r="D106" s="841"/>
      <c r="E106" s="841"/>
      <c r="F106" s="842"/>
      <c r="G106" s="843"/>
      <c r="H106" s="841"/>
      <c r="I106" s="841" t="s">
        <v>31</v>
      </c>
      <c r="J106" s="841" t="s">
        <v>31</v>
      </c>
      <c r="K106" s="841" t="s">
        <v>31</v>
      </c>
      <c r="L106" s="841" t="s">
        <v>31</v>
      </c>
      <c r="M106" s="841" t="s">
        <v>31</v>
      </c>
      <c r="N106" s="1070"/>
      <c r="O106" s="841">
        <v>538.9</v>
      </c>
      <c r="P106" s="841">
        <v>535.29999999999995</v>
      </c>
      <c r="Q106" s="841">
        <v>535.29999999999995</v>
      </c>
      <c r="R106" s="842">
        <f t="shared" si="81"/>
        <v>99.331972536648721</v>
      </c>
      <c r="S106" s="843">
        <f t="shared" si="82"/>
        <v>100</v>
      </c>
      <c r="T106" s="1070"/>
    </row>
    <row r="107" spans="1:20" x14ac:dyDescent="0.25">
      <c r="A107" s="839" t="s">
        <v>1150</v>
      </c>
      <c r="B107" s="840">
        <v>263</v>
      </c>
      <c r="C107" s="841"/>
      <c r="D107" s="841"/>
      <c r="E107" s="841"/>
      <c r="F107" s="842"/>
      <c r="G107" s="843"/>
      <c r="H107" s="841"/>
      <c r="I107" s="841"/>
      <c r="J107" s="841"/>
      <c r="K107" s="841"/>
      <c r="L107" s="841"/>
      <c r="M107" s="841"/>
      <c r="N107" s="1070"/>
      <c r="O107" s="841">
        <v>17.600000000000001</v>
      </c>
      <c r="P107" s="841">
        <v>17.600000000000001</v>
      </c>
      <c r="Q107" s="841">
        <v>17.600000000000001</v>
      </c>
      <c r="R107" s="842">
        <f t="shared" si="81"/>
        <v>100</v>
      </c>
      <c r="S107" s="843">
        <f t="shared" si="82"/>
        <v>100</v>
      </c>
      <c r="T107" s="1070"/>
    </row>
    <row r="108" spans="1:20" x14ac:dyDescent="0.25">
      <c r="A108" s="839" t="s">
        <v>1369</v>
      </c>
      <c r="B108" s="840">
        <v>301</v>
      </c>
      <c r="C108" s="841"/>
      <c r="D108" s="841"/>
      <c r="E108" s="841"/>
      <c r="F108" s="842"/>
      <c r="G108" s="843"/>
      <c r="H108" s="841"/>
      <c r="I108" s="841" t="s">
        <v>31</v>
      </c>
      <c r="J108" s="841" t="s">
        <v>31</v>
      </c>
      <c r="K108" s="841" t="s">
        <v>31</v>
      </c>
      <c r="L108" s="841" t="s">
        <v>31</v>
      </c>
      <c r="M108" s="841" t="s">
        <v>31</v>
      </c>
      <c r="N108" s="1071"/>
      <c r="O108" s="841">
        <v>15.6</v>
      </c>
      <c r="P108" s="841">
        <v>15.6</v>
      </c>
      <c r="Q108" s="841">
        <v>15.6</v>
      </c>
      <c r="R108" s="842">
        <f t="shared" si="81"/>
        <v>100</v>
      </c>
      <c r="S108" s="843">
        <f t="shared" si="82"/>
        <v>100</v>
      </c>
      <c r="T108" s="1071"/>
    </row>
    <row r="109" spans="1:20" ht="66" x14ac:dyDescent="0.25">
      <c r="A109" s="834" t="s">
        <v>757</v>
      </c>
      <c r="B109" s="835"/>
      <c r="C109" s="836">
        <f>C110+C111+C118+C119+C121</f>
        <v>576.80000000000007</v>
      </c>
      <c r="D109" s="836">
        <f>D110+D111+D118+D119+D121-0.1</f>
        <v>368.99999999999994</v>
      </c>
      <c r="E109" s="836">
        <f>E110+E111+E118+E119+E121</f>
        <v>367.79999999999995</v>
      </c>
      <c r="F109" s="836">
        <f t="shared" ref="F109" si="83">E109/C109*100</f>
        <v>63.765603328710107</v>
      </c>
      <c r="G109" s="836">
        <f t="shared" ref="G109" si="84">E109/D109*100</f>
        <v>99.674796747967491</v>
      </c>
      <c r="H109" s="837">
        <v>398.7</v>
      </c>
      <c r="I109" s="836" t="s">
        <v>31</v>
      </c>
      <c r="J109" s="836" t="s">
        <v>31</v>
      </c>
      <c r="K109" s="836" t="s">
        <v>31</v>
      </c>
      <c r="L109" s="836" t="s">
        <v>31</v>
      </c>
      <c r="M109" s="836" t="s">
        <v>31</v>
      </c>
      <c r="N109" s="838" t="s">
        <v>1415</v>
      </c>
      <c r="O109" s="836">
        <f>O110+O111+O112+O113</f>
        <v>677.3</v>
      </c>
      <c r="P109" s="836">
        <f t="shared" ref="P109:Q109" si="85">P110+P111+P112+P113</f>
        <v>674.1</v>
      </c>
      <c r="Q109" s="836">
        <f t="shared" si="85"/>
        <v>674.1</v>
      </c>
      <c r="R109" s="836">
        <f>Q109/O109*100</f>
        <v>99.527535803927364</v>
      </c>
      <c r="S109" s="836">
        <f>Q109/P109*100</f>
        <v>100</v>
      </c>
      <c r="T109" s="838" t="s">
        <v>1417</v>
      </c>
    </row>
    <row r="110" spans="1:20" x14ac:dyDescent="0.25">
      <c r="A110" s="839" t="s">
        <v>1418</v>
      </c>
      <c r="B110" s="840">
        <v>138</v>
      </c>
      <c r="C110" s="841"/>
      <c r="D110" s="841"/>
      <c r="E110" s="841"/>
      <c r="F110" s="842"/>
      <c r="G110" s="843"/>
      <c r="H110" s="841"/>
      <c r="I110" s="841" t="s">
        <v>31</v>
      </c>
      <c r="J110" s="841" t="s">
        <v>31</v>
      </c>
      <c r="K110" s="841" t="s">
        <v>31</v>
      </c>
      <c r="L110" s="841" t="s">
        <v>31</v>
      </c>
      <c r="M110" s="841" t="s">
        <v>31</v>
      </c>
      <c r="N110" s="850"/>
      <c r="O110" s="841">
        <v>546.29999999999995</v>
      </c>
      <c r="P110" s="841">
        <v>543.5</v>
      </c>
      <c r="Q110" s="841">
        <v>543.5</v>
      </c>
      <c r="R110" s="842">
        <f>Q110/O110*100</f>
        <v>99.487461101958644</v>
      </c>
      <c r="S110" s="843">
        <f>Q110/P110*100</f>
        <v>100</v>
      </c>
      <c r="T110" s="1069" t="s">
        <v>105</v>
      </c>
    </row>
    <row r="111" spans="1:20" x14ac:dyDescent="0.25">
      <c r="A111" s="839" t="s">
        <v>1411</v>
      </c>
      <c r="B111" s="840">
        <v>163</v>
      </c>
      <c r="C111" s="841"/>
      <c r="D111" s="841"/>
      <c r="E111" s="841"/>
      <c r="F111" s="842"/>
      <c r="G111" s="843"/>
      <c r="H111" s="841"/>
      <c r="I111" s="841" t="s">
        <v>31</v>
      </c>
      <c r="J111" s="841" t="s">
        <v>31</v>
      </c>
      <c r="K111" s="841" t="s">
        <v>31</v>
      </c>
      <c r="L111" s="841" t="s">
        <v>31</v>
      </c>
      <c r="M111" s="841" t="s">
        <v>31</v>
      </c>
      <c r="N111" s="850"/>
      <c r="O111" s="841">
        <v>5.9</v>
      </c>
      <c r="P111" s="841">
        <v>5.9</v>
      </c>
      <c r="Q111" s="841">
        <v>5.9</v>
      </c>
      <c r="R111" s="842">
        <f t="shared" ref="R111:R114" si="86">Q111/O111*100</f>
        <v>100</v>
      </c>
      <c r="S111" s="843">
        <f t="shared" ref="S111:S114" si="87">Q111/P111*100</f>
        <v>100</v>
      </c>
      <c r="T111" s="1070"/>
    </row>
    <row r="112" spans="1:20" x14ac:dyDescent="0.25">
      <c r="A112" s="839" t="s">
        <v>1419</v>
      </c>
      <c r="B112" s="840">
        <v>306</v>
      </c>
      <c r="C112" s="841"/>
      <c r="D112" s="841"/>
      <c r="E112" s="841"/>
      <c r="F112" s="842"/>
      <c r="G112" s="843"/>
      <c r="H112" s="841"/>
      <c r="I112" s="841" t="s">
        <v>31</v>
      </c>
      <c r="J112" s="841" t="s">
        <v>31</v>
      </c>
      <c r="K112" s="841" t="s">
        <v>31</v>
      </c>
      <c r="L112" s="841" t="s">
        <v>31</v>
      </c>
      <c r="M112" s="841" t="s">
        <v>31</v>
      </c>
      <c r="N112" s="850"/>
      <c r="O112" s="841">
        <v>55.4</v>
      </c>
      <c r="P112" s="841">
        <v>55</v>
      </c>
      <c r="Q112" s="841">
        <v>55</v>
      </c>
      <c r="R112" s="842">
        <f t="shared" si="86"/>
        <v>99.277978339350184</v>
      </c>
      <c r="S112" s="843">
        <f t="shared" si="87"/>
        <v>100</v>
      </c>
      <c r="T112" s="1070"/>
    </row>
    <row r="113" spans="1:20" x14ac:dyDescent="0.25">
      <c r="A113" s="839" t="s">
        <v>1420</v>
      </c>
      <c r="B113" s="840">
        <v>735</v>
      </c>
      <c r="C113" s="841"/>
      <c r="D113" s="841"/>
      <c r="E113" s="841"/>
      <c r="F113" s="842"/>
      <c r="G113" s="843"/>
      <c r="H113" s="841"/>
      <c r="I113" s="841" t="s">
        <v>31</v>
      </c>
      <c r="J113" s="841" t="s">
        <v>31</v>
      </c>
      <c r="K113" s="841" t="s">
        <v>31</v>
      </c>
      <c r="L113" s="841" t="s">
        <v>31</v>
      </c>
      <c r="M113" s="841" t="s">
        <v>31</v>
      </c>
      <c r="N113" s="850"/>
      <c r="O113" s="841">
        <v>69.7</v>
      </c>
      <c r="P113" s="841">
        <v>69.7</v>
      </c>
      <c r="Q113" s="841">
        <v>69.7</v>
      </c>
      <c r="R113" s="842">
        <f t="shared" si="86"/>
        <v>100</v>
      </c>
      <c r="S113" s="843">
        <f t="shared" si="87"/>
        <v>100</v>
      </c>
      <c r="T113" s="1071"/>
    </row>
    <row r="114" spans="1:20" ht="39.6" x14ac:dyDescent="0.25">
      <c r="A114" s="834" t="s">
        <v>880</v>
      </c>
      <c r="B114" s="835"/>
      <c r="C114" s="836" t="e">
        <f>C115+C116+C123+C124+C126</f>
        <v>#REF!</v>
      </c>
      <c r="D114" s="836" t="e">
        <f>D115+D116+D123+D124+D126-0.1</f>
        <v>#REF!</v>
      </c>
      <c r="E114" s="836" t="e">
        <f>E115+E116+E123+E124+E126</f>
        <v>#REF!</v>
      </c>
      <c r="F114" s="836" t="e">
        <f t="shared" ref="F114" si="88">E114/C114*100</f>
        <v>#REF!</v>
      </c>
      <c r="G114" s="836" t="e">
        <f t="shared" ref="G114" si="89">E114/D114*100</f>
        <v>#REF!</v>
      </c>
      <c r="H114" s="837">
        <v>398.7</v>
      </c>
      <c r="I114" s="836" t="s">
        <v>31</v>
      </c>
      <c r="J114" s="836" t="s">
        <v>31</v>
      </c>
      <c r="K114" s="836" t="s">
        <v>31</v>
      </c>
      <c r="L114" s="836" t="s">
        <v>31</v>
      </c>
      <c r="M114" s="836" t="s">
        <v>31</v>
      </c>
      <c r="N114" s="838" t="s">
        <v>1415</v>
      </c>
      <c r="O114" s="836">
        <f>O115</f>
        <v>675.6</v>
      </c>
      <c r="P114" s="836">
        <f t="shared" ref="P114:Q114" si="90">P115</f>
        <v>675.6</v>
      </c>
      <c r="Q114" s="836">
        <f t="shared" si="90"/>
        <v>675.4</v>
      </c>
      <c r="R114" s="836">
        <f t="shared" si="86"/>
        <v>99.97039668442865</v>
      </c>
      <c r="S114" s="836">
        <f t="shared" si="87"/>
        <v>99.97039668442865</v>
      </c>
      <c r="T114" s="838" t="s">
        <v>1421</v>
      </c>
    </row>
    <row r="115" spans="1:20" x14ac:dyDescent="0.25">
      <c r="A115" s="839" t="s">
        <v>1368</v>
      </c>
      <c r="B115" s="840">
        <v>72</v>
      </c>
      <c r="C115" s="841"/>
      <c r="D115" s="841"/>
      <c r="E115" s="841"/>
      <c r="F115" s="842"/>
      <c r="G115" s="843"/>
      <c r="H115" s="841"/>
      <c r="I115" s="841" t="s">
        <v>31</v>
      </c>
      <c r="J115" s="841" t="s">
        <v>31</v>
      </c>
      <c r="K115" s="841" t="s">
        <v>31</v>
      </c>
      <c r="L115" s="841" t="s">
        <v>31</v>
      </c>
      <c r="M115" s="841" t="s">
        <v>31</v>
      </c>
      <c r="N115" s="851"/>
      <c r="O115" s="841">
        <v>675.6</v>
      </c>
      <c r="P115" s="841">
        <v>675.6</v>
      </c>
      <c r="Q115" s="841">
        <v>675.4</v>
      </c>
      <c r="R115" s="842">
        <f>Q115/O115*100</f>
        <v>99.97039668442865</v>
      </c>
      <c r="S115" s="843">
        <f>Q115/P115*100</f>
        <v>99.97039668442865</v>
      </c>
      <c r="T115" s="851" t="s">
        <v>105</v>
      </c>
    </row>
    <row r="116" spans="1:20" ht="3" customHeight="1" x14ac:dyDescent="0.25">
      <c r="A116" s="839"/>
      <c r="B116" s="840"/>
      <c r="C116" s="841"/>
      <c r="D116" s="841"/>
      <c r="E116" s="841"/>
      <c r="F116" s="842"/>
      <c r="G116" s="843"/>
      <c r="H116" s="841"/>
      <c r="I116" s="841"/>
      <c r="J116" s="841"/>
      <c r="K116" s="841"/>
      <c r="L116" s="842"/>
      <c r="M116" s="843"/>
      <c r="N116" s="851"/>
      <c r="O116" s="841"/>
      <c r="P116" s="841"/>
      <c r="Q116" s="841"/>
      <c r="R116" s="842"/>
      <c r="S116" s="843"/>
      <c r="T116" s="851"/>
    </row>
    <row r="117" spans="1:20" ht="26.4" x14ac:dyDescent="0.25">
      <c r="A117" s="852" t="s">
        <v>1422</v>
      </c>
      <c r="B117" s="853"/>
      <c r="C117" s="854">
        <f>C119</f>
        <v>517.70000000000005</v>
      </c>
      <c r="D117" s="854">
        <f>D119</f>
        <v>342.9</v>
      </c>
      <c r="E117" s="854">
        <f t="shared" ref="E117" si="91">E119</f>
        <v>341.59999999999997</v>
      </c>
      <c r="F117" s="836">
        <f t="shared" si="74"/>
        <v>65.984160710836377</v>
      </c>
      <c r="G117" s="836">
        <f t="shared" si="75"/>
        <v>99.620880723242919</v>
      </c>
      <c r="H117" s="855"/>
      <c r="I117" s="854">
        <f>I119</f>
        <v>2524.2204000000002</v>
      </c>
      <c r="J117" s="854">
        <f>J119</f>
        <v>478.9</v>
      </c>
      <c r="K117" s="854">
        <f t="shared" ref="K117" si="92">K119</f>
        <v>469.8134</v>
      </c>
      <c r="L117" s="836">
        <f t="shared" ref="L117" si="93">K117/I117*100</f>
        <v>18.612217855461431</v>
      </c>
      <c r="M117" s="836">
        <f t="shared" ref="M117" si="94">K117/J117*100</f>
        <v>98.102610148256431</v>
      </c>
      <c r="N117" s="838" t="s">
        <v>105</v>
      </c>
      <c r="O117" s="854">
        <f>O119</f>
        <v>4006.4</v>
      </c>
      <c r="P117" s="854">
        <f>P119</f>
        <v>2359.1999999999998</v>
      </c>
      <c r="Q117" s="854">
        <f t="shared" ref="Q117" si="95">Q119</f>
        <v>2357</v>
      </c>
      <c r="R117" s="836">
        <f t="shared" ref="R117" si="96">Q117/O117*100</f>
        <v>58.83087060702875</v>
      </c>
      <c r="S117" s="836">
        <f t="shared" ref="S117" si="97">Q117/P117*100</f>
        <v>99.906748050186508</v>
      </c>
      <c r="T117" s="838" t="s">
        <v>31</v>
      </c>
    </row>
    <row r="118" spans="1:20" x14ac:dyDescent="0.25">
      <c r="A118" s="828" t="s">
        <v>1021</v>
      </c>
      <c r="B118" s="829"/>
      <c r="C118" s="822"/>
      <c r="D118" s="822"/>
      <c r="E118" s="822"/>
      <c r="F118" s="831"/>
      <c r="G118" s="830"/>
      <c r="H118" s="832"/>
      <c r="I118" s="822"/>
      <c r="J118" s="822"/>
      <c r="K118" s="822"/>
      <c r="L118" s="831"/>
      <c r="M118" s="830"/>
      <c r="N118" s="825"/>
      <c r="O118" s="822"/>
      <c r="P118" s="822"/>
      <c r="Q118" s="822"/>
      <c r="R118" s="831"/>
      <c r="S118" s="830"/>
      <c r="T118" s="825"/>
    </row>
    <row r="119" spans="1:20" ht="52.8" x14ac:dyDescent="0.25">
      <c r="A119" s="828" t="s">
        <v>796</v>
      </c>
      <c r="B119" s="829"/>
      <c r="C119" s="830">
        <f>C120+C121</f>
        <v>517.70000000000005</v>
      </c>
      <c r="D119" s="830">
        <f t="shared" ref="D119:E119" si="98">D120+D121</f>
        <v>342.9</v>
      </c>
      <c r="E119" s="830">
        <f t="shared" si="98"/>
        <v>341.59999999999997</v>
      </c>
      <c r="F119" s="831">
        <f>E119/C119*100</f>
        <v>65.984160710836377</v>
      </c>
      <c r="G119" s="830">
        <f>E119/D119*100</f>
        <v>99.620880723242919</v>
      </c>
      <c r="H119" s="832"/>
      <c r="I119" s="830">
        <f>I120+I121</f>
        <v>2524.2204000000002</v>
      </c>
      <c r="J119" s="830">
        <f t="shared" ref="J119:K119" si="99">J120+J121</f>
        <v>478.9</v>
      </c>
      <c r="K119" s="830">
        <f t="shared" si="99"/>
        <v>469.8134</v>
      </c>
      <c r="L119" s="831">
        <f>K119/I119*100</f>
        <v>18.612217855461431</v>
      </c>
      <c r="M119" s="830">
        <f>K119/J119*100</f>
        <v>98.102610148256431</v>
      </c>
      <c r="N119" s="1072" t="s">
        <v>1364</v>
      </c>
      <c r="O119" s="830">
        <f>O120+O121</f>
        <v>4006.4</v>
      </c>
      <c r="P119" s="830">
        <f t="shared" ref="P119:Q119" si="100">P120+P121</f>
        <v>2359.1999999999998</v>
      </c>
      <c r="Q119" s="830">
        <f t="shared" si="100"/>
        <v>2357</v>
      </c>
      <c r="R119" s="831">
        <f>Q119/O119*100</f>
        <v>58.83087060702875</v>
      </c>
      <c r="S119" s="830">
        <f>Q119/P119*100</f>
        <v>99.906748050186508</v>
      </c>
      <c r="T119" s="1072" t="s">
        <v>105</v>
      </c>
    </row>
    <row r="120" spans="1:20" x14ac:dyDescent="0.25">
      <c r="A120" s="839" t="s">
        <v>1050</v>
      </c>
      <c r="B120" s="840">
        <v>19</v>
      </c>
      <c r="C120" s="841">
        <v>458.6</v>
      </c>
      <c r="D120" s="841">
        <v>316.7</v>
      </c>
      <c r="E120" s="841">
        <v>315.39999999999998</v>
      </c>
      <c r="F120" s="842">
        <f>E120/C120*100</f>
        <v>68.774531181857824</v>
      </c>
      <c r="G120" s="843">
        <f>E120/D120*100</f>
        <v>99.589516892958628</v>
      </c>
      <c r="H120" s="841"/>
      <c r="I120" s="841">
        <v>2330.1734000000001</v>
      </c>
      <c r="J120" s="841">
        <v>351</v>
      </c>
      <c r="K120" s="841">
        <v>343.39350000000002</v>
      </c>
      <c r="L120" s="842">
        <f>K120/I120*100</f>
        <v>14.736821731807598</v>
      </c>
      <c r="M120" s="843">
        <f>K120/J120*100</f>
        <v>97.832905982905999</v>
      </c>
      <c r="N120" s="1073"/>
      <c r="O120" s="841">
        <v>3508.4</v>
      </c>
      <c r="P120" s="841">
        <v>1896.1</v>
      </c>
      <c r="Q120" s="841">
        <v>1893.9</v>
      </c>
      <c r="R120" s="842">
        <f>Q120/O120*100</f>
        <v>53.981872078440318</v>
      </c>
      <c r="S120" s="843">
        <f>Q120/P120*100</f>
        <v>99.883972364326794</v>
      </c>
      <c r="T120" s="1073"/>
    </row>
    <row r="121" spans="1:20" x14ac:dyDescent="0.25">
      <c r="A121" s="839" t="s">
        <v>1058</v>
      </c>
      <c r="B121" s="840">
        <v>23</v>
      </c>
      <c r="C121" s="841">
        <v>59.1</v>
      </c>
      <c r="D121" s="841">
        <v>26.2</v>
      </c>
      <c r="E121" s="841">
        <v>26.2</v>
      </c>
      <c r="F121" s="842">
        <f>E121/C121*100</f>
        <v>44.331641285956003</v>
      </c>
      <c r="G121" s="843">
        <f>E121/D121*100</f>
        <v>100</v>
      </c>
      <c r="H121" s="841"/>
      <c r="I121" s="841">
        <v>194.047</v>
      </c>
      <c r="J121" s="841">
        <v>127.9</v>
      </c>
      <c r="K121" s="841">
        <v>126.4199</v>
      </c>
      <c r="L121" s="842">
        <f>K121/I121*100</f>
        <v>65.149113359134645</v>
      </c>
      <c r="M121" s="843">
        <f>K121/J121*100</f>
        <v>98.842767787333855</v>
      </c>
      <c r="N121" s="1073"/>
      <c r="O121" s="841">
        <v>498</v>
      </c>
      <c r="P121" s="841">
        <v>463.1</v>
      </c>
      <c r="Q121" s="841">
        <v>463.1</v>
      </c>
      <c r="R121" s="842">
        <f>Q121/O121*100</f>
        <v>92.991967871485954</v>
      </c>
      <c r="S121" s="843">
        <f>Q121/P121*100</f>
        <v>100</v>
      </c>
      <c r="T121" s="1073"/>
    </row>
    <row r="122" spans="1:20" ht="3" customHeight="1" x14ac:dyDescent="0.25">
      <c r="A122" s="856" t="s">
        <v>31</v>
      </c>
      <c r="B122" s="857"/>
      <c r="C122" s="858"/>
      <c r="D122" s="858"/>
      <c r="E122" s="858"/>
      <c r="F122" s="830"/>
      <c r="G122" s="830"/>
      <c r="H122" s="859"/>
      <c r="I122" s="858"/>
      <c r="J122" s="858"/>
      <c r="K122" s="858"/>
      <c r="L122" s="830"/>
      <c r="M122" s="830"/>
      <c r="N122" s="1074"/>
      <c r="O122" s="858"/>
      <c r="P122" s="858"/>
      <c r="Q122" s="858"/>
      <c r="R122" s="830"/>
      <c r="S122" s="830"/>
      <c r="T122" s="1074"/>
    </row>
    <row r="123" spans="1:20" ht="26.4" x14ac:dyDescent="0.25">
      <c r="A123" s="852" t="s">
        <v>1423</v>
      </c>
      <c r="B123" s="853"/>
      <c r="C123" s="854" t="e">
        <f>C125+#REF!+#REF!+0.1</f>
        <v>#REF!</v>
      </c>
      <c r="D123" s="854" t="e">
        <f>D125+#REF!+#REF!</f>
        <v>#REF!</v>
      </c>
      <c r="E123" s="854" t="e">
        <f>E125+#REF!+#REF!-0.1</f>
        <v>#REF!</v>
      </c>
      <c r="F123" s="854" t="e">
        <f>E123/C123*100</f>
        <v>#REF!</v>
      </c>
      <c r="G123" s="854" t="e">
        <f>E123/D123*100</f>
        <v>#REF!</v>
      </c>
      <c r="H123" s="855"/>
      <c r="I123" s="854">
        <f>I125</f>
        <v>3.9499999999999993</v>
      </c>
      <c r="J123" s="854">
        <f t="shared" ref="J123:M123" si="101">J125</f>
        <v>3.9999999999999996</v>
      </c>
      <c r="K123" s="854">
        <f t="shared" si="101"/>
        <v>3.9499999999999993</v>
      </c>
      <c r="L123" s="854">
        <f t="shared" si="101"/>
        <v>100</v>
      </c>
      <c r="M123" s="854">
        <f t="shared" si="101"/>
        <v>98.75</v>
      </c>
      <c r="N123" s="838" t="s">
        <v>105</v>
      </c>
      <c r="O123" s="854">
        <f>O125</f>
        <v>4.0000000000000009</v>
      </c>
      <c r="P123" s="854">
        <f t="shared" ref="P123:S123" si="102">P125</f>
        <v>4.0000000000000009</v>
      </c>
      <c r="Q123" s="854">
        <f t="shared" si="102"/>
        <v>4.0000000000000009</v>
      </c>
      <c r="R123" s="854">
        <f t="shared" si="102"/>
        <v>100</v>
      </c>
      <c r="S123" s="854">
        <f t="shared" si="102"/>
        <v>100</v>
      </c>
      <c r="T123" s="838" t="s">
        <v>31</v>
      </c>
    </row>
    <row r="124" spans="1:20" x14ac:dyDescent="0.25">
      <c r="A124" s="828" t="s">
        <v>1021</v>
      </c>
      <c r="B124" s="829"/>
      <c r="C124" s="822"/>
      <c r="D124" s="822"/>
      <c r="E124" s="822"/>
      <c r="F124" s="830"/>
      <c r="G124" s="830"/>
      <c r="H124" s="832"/>
      <c r="I124" s="822"/>
      <c r="J124" s="822"/>
      <c r="K124" s="822"/>
      <c r="L124" s="830"/>
      <c r="M124" s="830"/>
      <c r="N124" s="825"/>
      <c r="O124" s="822"/>
      <c r="P124" s="822"/>
      <c r="Q124" s="822"/>
      <c r="R124" s="830"/>
      <c r="S124" s="830"/>
      <c r="T124" s="825"/>
    </row>
    <row r="125" spans="1:20" ht="79.5" customHeight="1" x14ac:dyDescent="0.25">
      <c r="A125" s="828" t="s">
        <v>1424</v>
      </c>
      <c r="B125" s="829"/>
      <c r="C125" s="830">
        <f>C126+C127+C129+C130</f>
        <v>5.2</v>
      </c>
      <c r="D125" s="830">
        <f t="shared" ref="D125:E125" si="103">D126+D127+D129+D130</f>
        <v>5</v>
      </c>
      <c r="E125" s="830">
        <f t="shared" si="103"/>
        <v>5</v>
      </c>
      <c r="F125" s="830">
        <f t="shared" ref="F125:F130" si="104">E125/C125*100</f>
        <v>96.153846153846146</v>
      </c>
      <c r="G125" s="830">
        <f>E125/D125*100</f>
        <v>100</v>
      </c>
      <c r="H125" s="832"/>
      <c r="I125" s="830">
        <f>I126+I127+I129+I130</f>
        <v>3.9499999999999993</v>
      </c>
      <c r="J125" s="830">
        <f t="shared" ref="J125:K125" si="105">J126+J127+J129+J130</f>
        <v>3.9999999999999996</v>
      </c>
      <c r="K125" s="830">
        <f t="shared" si="105"/>
        <v>3.9499999999999993</v>
      </c>
      <c r="L125" s="830">
        <f>K125/I125*100</f>
        <v>100</v>
      </c>
      <c r="M125" s="830">
        <f>K125/J125*100</f>
        <v>98.75</v>
      </c>
      <c r="N125" s="1072" t="s">
        <v>1364</v>
      </c>
      <c r="O125" s="830">
        <f>O126+O127+O129+O130</f>
        <v>4.0000000000000009</v>
      </c>
      <c r="P125" s="830">
        <f t="shared" ref="P125:Q125" si="106">P126+P127+P129+P130</f>
        <v>4.0000000000000009</v>
      </c>
      <c r="Q125" s="830">
        <f t="shared" si="106"/>
        <v>4.0000000000000009</v>
      </c>
      <c r="R125" s="830">
        <f>Q125/O125*100</f>
        <v>100</v>
      </c>
      <c r="S125" s="830">
        <f>Q125/P125*100</f>
        <v>100</v>
      </c>
      <c r="T125" s="1072" t="s">
        <v>105</v>
      </c>
    </row>
    <row r="126" spans="1:20" x14ac:dyDescent="0.25">
      <c r="A126" s="839" t="s">
        <v>1091</v>
      </c>
      <c r="B126" s="840">
        <v>69</v>
      </c>
      <c r="C126" s="841">
        <v>0.3</v>
      </c>
      <c r="D126" s="841">
        <v>0.3</v>
      </c>
      <c r="E126" s="841">
        <v>0.3</v>
      </c>
      <c r="F126" s="843">
        <f t="shared" si="104"/>
        <v>100</v>
      </c>
      <c r="G126" s="843">
        <f>E126/D126*100</f>
        <v>100</v>
      </c>
      <c r="H126" s="841"/>
      <c r="I126" s="841">
        <f>300000/1000000</f>
        <v>0.3</v>
      </c>
      <c r="J126" s="841">
        <v>0.3</v>
      </c>
      <c r="K126" s="841">
        <v>0.3</v>
      </c>
      <c r="L126" s="843">
        <f>K126/I126*100</f>
        <v>100</v>
      </c>
      <c r="M126" s="843">
        <f>K126/J126*100</f>
        <v>100</v>
      </c>
      <c r="N126" s="1073"/>
      <c r="O126" s="841">
        <v>0.2</v>
      </c>
      <c r="P126" s="841">
        <v>0.2</v>
      </c>
      <c r="Q126" s="841">
        <v>0.2</v>
      </c>
      <c r="R126" s="843">
        <f>Q126/O126*100</f>
        <v>100</v>
      </c>
      <c r="S126" s="843">
        <f>Q126/P126*100</f>
        <v>100</v>
      </c>
      <c r="T126" s="1073"/>
    </row>
    <row r="127" spans="1:20" x14ac:dyDescent="0.25">
      <c r="A127" s="839" t="s">
        <v>1079</v>
      </c>
      <c r="B127" s="840">
        <v>75</v>
      </c>
      <c r="C127" s="841">
        <v>4.4000000000000004</v>
      </c>
      <c r="D127" s="841">
        <v>4.2</v>
      </c>
      <c r="E127" s="841">
        <v>4.2</v>
      </c>
      <c r="F127" s="843">
        <f t="shared" si="104"/>
        <v>95.454545454545453</v>
      </c>
      <c r="G127" s="843">
        <f>E127/D127*100</f>
        <v>100</v>
      </c>
      <c r="H127" s="841"/>
      <c r="I127" s="841">
        <v>3.3</v>
      </c>
      <c r="J127" s="841">
        <v>3.3</v>
      </c>
      <c r="K127" s="841">
        <v>3.3</v>
      </c>
      <c r="L127" s="843">
        <f>K127/I127*100</f>
        <v>100</v>
      </c>
      <c r="M127" s="843">
        <f>K127/J127*100</f>
        <v>100</v>
      </c>
      <c r="N127" s="1073"/>
      <c r="O127" s="841">
        <v>3.2</v>
      </c>
      <c r="P127" s="841">
        <v>3.2</v>
      </c>
      <c r="Q127" s="841">
        <v>3.2</v>
      </c>
      <c r="R127" s="843">
        <f>Q127/O127*100</f>
        <v>100</v>
      </c>
      <c r="S127" s="843">
        <f>Q127/P127*100</f>
        <v>100</v>
      </c>
      <c r="T127" s="1073"/>
    </row>
    <row r="128" spans="1:20" x14ac:dyDescent="0.25">
      <c r="A128" s="839" t="s">
        <v>1010</v>
      </c>
      <c r="B128" s="840">
        <v>90</v>
      </c>
      <c r="C128" s="841">
        <v>0.1</v>
      </c>
      <c r="D128" s="841">
        <v>0</v>
      </c>
      <c r="E128" s="841">
        <v>0</v>
      </c>
      <c r="F128" s="843">
        <f t="shared" si="104"/>
        <v>0</v>
      </c>
      <c r="G128" s="843">
        <v>0</v>
      </c>
      <c r="H128" s="841"/>
      <c r="I128" s="841">
        <v>0</v>
      </c>
      <c r="J128" s="841">
        <v>0</v>
      </c>
      <c r="K128" s="841">
        <v>0</v>
      </c>
      <c r="L128" s="843">
        <v>0</v>
      </c>
      <c r="M128" s="843">
        <v>0</v>
      </c>
      <c r="N128" s="1073"/>
      <c r="O128" s="841">
        <v>0</v>
      </c>
      <c r="P128" s="841">
        <v>0</v>
      </c>
      <c r="Q128" s="841">
        <v>0</v>
      </c>
      <c r="R128" s="843">
        <v>0</v>
      </c>
      <c r="S128" s="843">
        <v>0</v>
      </c>
      <c r="T128" s="1073"/>
    </row>
    <row r="129" spans="1:21" x14ac:dyDescent="0.25">
      <c r="A129" s="839" t="s">
        <v>1132</v>
      </c>
      <c r="B129" s="840">
        <v>156</v>
      </c>
      <c r="C129" s="841">
        <v>0.1</v>
      </c>
      <c r="D129" s="841">
        <v>0.1</v>
      </c>
      <c r="E129" s="841">
        <v>0.1</v>
      </c>
      <c r="F129" s="843">
        <f t="shared" si="104"/>
        <v>100</v>
      </c>
      <c r="G129" s="843">
        <v>0</v>
      </c>
      <c r="H129" s="841"/>
      <c r="I129" s="841">
        <v>0.05</v>
      </c>
      <c r="J129" s="841">
        <v>0.1</v>
      </c>
      <c r="K129" s="841">
        <v>0.05</v>
      </c>
      <c r="L129" s="843">
        <f>K129/I129*100</f>
        <v>100</v>
      </c>
      <c r="M129" s="843">
        <v>0</v>
      </c>
      <c r="N129" s="1073"/>
      <c r="O129" s="841">
        <v>0.2</v>
      </c>
      <c r="P129" s="841">
        <v>0.2</v>
      </c>
      <c r="Q129" s="841">
        <v>0.2</v>
      </c>
      <c r="R129" s="843">
        <f>Q129/O129*100</f>
        <v>100</v>
      </c>
      <c r="S129" s="843">
        <v>0</v>
      </c>
      <c r="T129" s="1073"/>
    </row>
    <row r="130" spans="1:21" x14ac:dyDescent="0.25">
      <c r="A130" s="839" t="s">
        <v>1369</v>
      </c>
      <c r="B130" s="840">
        <v>301</v>
      </c>
      <c r="C130" s="841">
        <v>0.4</v>
      </c>
      <c r="D130" s="841">
        <v>0.4</v>
      </c>
      <c r="E130" s="841">
        <v>0.4</v>
      </c>
      <c r="F130" s="843">
        <f t="shared" si="104"/>
        <v>100</v>
      </c>
      <c r="G130" s="843">
        <f>E130/D130*100</f>
        <v>100</v>
      </c>
      <c r="H130" s="841"/>
      <c r="I130" s="841">
        <v>0.3</v>
      </c>
      <c r="J130" s="841">
        <v>0.3</v>
      </c>
      <c r="K130" s="841">
        <v>0.3</v>
      </c>
      <c r="L130" s="843">
        <f>K130/I130*100</f>
        <v>100</v>
      </c>
      <c r="M130" s="843">
        <f>K130/J130*100</f>
        <v>100</v>
      </c>
      <c r="N130" s="1074"/>
      <c r="O130" s="841">
        <v>0.4</v>
      </c>
      <c r="P130" s="841">
        <v>0.4</v>
      </c>
      <c r="Q130" s="841">
        <v>0.4</v>
      </c>
      <c r="R130" s="843">
        <f>Q130/O130*100</f>
        <v>100</v>
      </c>
      <c r="S130" s="843">
        <f>Q130/P130*100</f>
        <v>100</v>
      </c>
      <c r="T130" s="1074"/>
    </row>
    <row r="131" spans="1:21" s="866" customFormat="1" ht="13.8" thickBot="1" x14ac:dyDescent="0.3">
      <c r="A131" s="860" t="s">
        <v>186</v>
      </c>
      <c r="B131" s="861"/>
      <c r="C131" s="862" t="e">
        <f>C9+C117+C123</f>
        <v>#REF!</v>
      </c>
      <c r="D131" s="862" t="e">
        <f>D9+D117+D123</f>
        <v>#REF!</v>
      </c>
      <c r="E131" s="862" t="e">
        <f>E9+E117+E123</f>
        <v>#REF!</v>
      </c>
      <c r="F131" s="862" t="e">
        <f>E131/C131*100</f>
        <v>#REF!</v>
      </c>
      <c r="G131" s="862" t="e">
        <f>E131/D131*100</f>
        <v>#REF!</v>
      </c>
      <c r="H131" s="863"/>
      <c r="I131" s="862">
        <f>I9+I117+I123</f>
        <v>90831.900833740001</v>
      </c>
      <c r="J131" s="862">
        <f>J9+J117+J123</f>
        <v>85471.64999999998</v>
      </c>
      <c r="K131" s="862">
        <f>K9+K117+K123</f>
        <v>85148.533499999976</v>
      </c>
      <c r="L131" s="862">
        <f>K131/I131*100</f>
        <v>93.742983157268782</v>
      </c>
      <c r="M131" s="862">
        <f>K131/J131*100</f>
        <v>99.621960615010934</v>
      </c>
      <c r="N131" s="864" t="s">
        <v>1364</v>
      </c>
      <c r="O131" s="862">
        <f>O9+O117+O123</f>
        <v>116820.39999999998</v>
      </c>
      <c r="P131" s="862">
        <f>P9+P117+P123</f>
        <v>112282.59999999998</v>
      </c>
      <c r="Q131" s="862">
        <f>Q9+Q117+Q123</f>
        <v>111739.59999999998</v>
      </c>
      <c r="R131" s="862">
        <f>Q131/O131*100</f>
        <v>95.650759627599285</v>
      </c>
      <c r="S131" s="862">
        <f>Q131/P131*100</f>
        <v>99.516398800882783</v>
      </c>
      <c r="T131" s="865" t="s">
        <v>105</v>
      </c>
      <c r="U131" s="810"/>
    </row>
    <row r="132" spans="1:21" s="866" customFormat="1" ht="17.25" customHeight="1" thickTop="1" x14ac:dyDescent="0.25">
      <c r="A132" s="1068" t="s">
        <v>1425</v>
      </c>
      <c r="B132" s="1068"/>
      <c r="C132" s="1068"/>
      <c r="D132" s="1068"/>
      <c r="E132" s="1068"/>
      <c r="F132" s="1068"/>
      <c r="G132" s="1068"/>
      <c r="H132" s="1068"/>
      <c r="I132" s="1068"/>
      <c r="J132" s="1068"/>
      <c r="K132" s="1068"/>
      <c r="L132" s="1068"/>
      <c r="M132" s="1068"/>
      <c r="N132" s="1068"/>
      <c r="O132" s="1068"/>
      <c r="P132" s="1068"/>
      <c r="Q132" s="1068"/>
      <c r="R132" s="1068"/>
      <c r="S132" s="1068"/>
      <c r="T132" s="1068"/>
      <c r="U132" s="810"/>
    </row>
    <row r="133" spans="1:21" s="866" customFormat="1" ht="26.4" x14ac:dyDescent="0.25">
      <c r="A133" s="867" t="s">
        <v>1426</v>
      </c>
      <c r="B133" s="868"/>
      <c r="C133" s="867"/>
      <c r="D133" s="867"/>
      <c r="E133" s="867"/>
      <c r="F133" s="867"/>
      <c r="G133" s="867"/>
      <c r="H133" s="869"/>
      <c r="I133" s="870">
        <v>94382.9</v>
      </c>
      <c r="J133" s="870">
        <v>88877.5</v>
      </c>
      <c r="K133" s="870">
        <v>88517.8</v>
      </c>
      <c r="L133" s="810"/>
      <c r="M133" s="810"/>
      <c r="N133" s="814"/>
      <c r="O133" s="833"/>
      <c r="P133" s="833"/>
      <c r="Q133" s="833"/>
      <c r="R133" s="810"/>
      <c r="S133" s="810"/>
      <c r="T133" s="814"/>
      <c r="U133" s="810"/>
    </row>
    <row r="134" spans="1:21" s="866" customFormat="1" x14ac:dyDescent="0.25">
      <c r="A134" s="867" t="s">
        <v>1427</v>
      </c>
      <c r="B134" s="868"/>
      <c r="C134" s="867"/>
      <c r="D134" s="867"/>
      <c r="E134" s="867"/>
      <c r="F134" s="867"/>
      <c r="G134" s="867"/>
      <c r="H134" s="869"/>
      <c r="I134" s="870"/>
      <c r="J134" s="870"/>
      <c r="K134" s="870"/>
      <c r="L134" s="810"/>
      <c r="M134" s="810"/>
      <c r="N134" s="814"/>
      <c r="O134" s="833"/>
      <c r="P134" s="833"/>
      <c r="Q134" s="833"/>
      <c r="R134" s="810"/>
      <c r="S134" s="810"/>
      <c r="T134" s="814"/>
      <c r="U134" s="810"/>
    </row>
    <row r="135" spans="1:21" s="866" customFormat="1" ht="26.4" x14ac:dyDescent="0.25">
      <c r="A135" s="867" t="s">
        <v>1428</v>
      </c>
      <c r="B135" s="868"/>
      <c r="C135" s="867"/>
      <c r="D135" s="867"/>
      <c r="E135" s="867"/>
      <c r="F135" s="867"/>
      <c r="G135" s="867"/>
      <c r="H135" s="869"/>
      <c r="I135" s="870">
        <v>386.20000000000005</v>
      </c>
      <c r="J135" s="870">
        <v>379.29999999999995</v>
      </c>
      <c r="K135" s="870">
        <v>378.76190000000003</v>
      </c>
      <c r="L135" s="810"/>
      <c r="M135" s="810"/>
      <c r="N135" s="814"/>
      <c r="O135" s="833"/>
      <c r="P135" s="833"/>
      <c r="Q135" s="833"/>
      <c r="R135" s="810"/>
      <c r="S135" s="810"/>
      <c r="T135" s="814"/>
      <c r="U135" s="810"/>
    </row>
    <row r="136" spans="1:21" ht="26.4" x14ac:dyDescent="0.25">
      <c r="A136" s="867" t="s">
        <v>1429</v>
      </c>
      <c r="B136" s="868"/>
      <c r="C136" s="867" t="e">
        <v>#REF!</v>
      </c>
      <c r="D136" s="867" t="e">
        <v>#REF!</v>
      </c>
      <c r="E136" s="867" t="e">
        <v>#REF!</v>
      </c>
      <c r="F136" s="867" t="e">
        <v>#REF!</v>
      </c>
      <c r="G136" s="867" t="e">
        <v>#REF!</v>
      </c>
      <c r="H136" s="869">
        <v>2003.1</v>
      </c>
      <c r="I136" s="870">
        <v>2045.6763621099999</v>
      </c>
      <c r="J136" s="870">
        <v>2024.9</v>
      </c>
      <c r="K136" s="870">
        <v>1988.9607000000001</v>
      </c>
      <c r="O136" s="833"/>
      <c r="P136" s="833"/>
      <c r="Q136" s="833"/>
    </row>
    <row r="137" spans="1:21" ht="66" x14ac:dyDescent="0.25">
      <c r="A137" s="867" t="s">
        <v>1430</v>
      </c>
      <c r="B137" s="868"/>
      <c r="C137" s="867">
        <v>72.5</v>
      </c>
      <c r="D137" s="867">
        <v>72.3</v>
      </c>
      <c r="E137" s="867">
        <v>72.3</v>
      </c>
      <c r="F137" s="867">
        <v>99.724137931034477</v>
      </c>
      <c r="G137" s="867">
        <v>100</v>
      </c>
      <c r="H137" s="869">
        <v>260</v>
      </c>
      <c r="I137" s="870">
        <v>259.96815999999995</v>
      </c>
      <c r="J137" s="870">
        <v>145.30000000000001</v>
      </c>
      <c r="K137" s="870">
        <v>145.2396</v>
      </c>
      <c r="O137" s="833"/>
      <c r="P137" s="833"/>
      <c r="Q137" s="833"/>
    </row>
    <row r="138" spans="1:21" ht="39.6" x14ac:dyDescent="0.25">
      <c r="A138" s="867" t="s">
        <v>1431</v>
      </c>
      <c r="B138" s="868"/>
      <c r="C138" s="867">
        <v>384.59999999999997</v>
      </c>
      <c r="D138" s="867">
        <v>359.8</v>
      </c>
      <c r="E138" s="867">
        <v>334</v>
      </c>
      <c r="F138" s="867">
        <v>86.843473738949555</v>
      </c>
      <c r="G138" s="867">
        <v>92.829349638688157</v>
      </c>
      <c r="H138" s="869">
        <v>829.4</v>
      </c>
      <c r="I138" s="870">
        <v>859.40000000000009</v>
      </c>
      <c r="J138" s="870">
        <v>856.30000000000007</v>
      </c>
      <c r="K138" s="870">
        <v>856.29650000000004</v>
      </c>
    </row>
    <row r="139" spans="1:21" x14ac:dyDescent="0.25">
      <c r="A139" s="867" t="s">
        <v>318</v>
      </c>
      <c r="B139" s="868"/>
      <c r="C139" s="867"/>
      <c r="D139" s="867"/>
      <c r="E139" s="867"/>
      <c r="F139" s="867"/>
      <c r="G139" s="867"/>
      <c r="H139" s="869"/>
      <c r="I139" s="870">
        <f>I135+I136+I137+I138</f>
        <v>3551.2445221099997</v>
      </c>
      <c r="J139" s="870">
        <f t="shared" ref="J139:K139" si="107">J135+J136+J137+J138</f>
        <v>3405.8</v>
      </c>
      <c r="K139" s="870">
        <f t="shared" si="107"/>
        <v>3369.2586999999999</v>
      </c>
    </row>
    <row r="140" spans="1:21" x14ac:dyDescent="0.25">
      <c r="A140" s="867" t="s">
        <v>1432</v>
      </c>
      <c r="B140" s="868"/>
      <c r="C140" s="867"/>
      <c r="D140" s="867"/>
      <c r="E140" s="867"/>
      <c r="F140" s="867"/>
      <c r="G140" s="867"/>
      <c r="H140" s="869"/>
      <c r="I140" s="870">
        <f>I133-I131-I139</f>
        <v>-0.24535585000649007</v>
      </c>
      <c r="J140" s="870">
        <f t="shared" ref="J140:K140" si="108">J133-J131-J139</f>
        <v>5.0000000020190782E-2</v>
      </c>
      <c r="K140" s="870">
        <f t="shared" si="108"/>
        <v>7.8000000271458703E-3</v>
      </c>
    </row>
    <row r="144" spans="1:21" ht="41.25" customHeight="1" x14ac:dyDescent="0.25"/>
    <row r="145" ht="41.25" customHeight="1" x14ac:dyDescent="0.25"/>
    <row r="146" ht="41.25" customHeight="1" x14ac:dyDescent="0.25"/>
  </sheetData>
  <mergeCells count="61">
    <mergeCell ref="A3:T3"/>
    <mergeCell ref="A5:A7"/>
    <mergeCell ref="B5:B7"/>
    <mergeCell ref="C5:G5"/>
    <mergeCell ref="I5:N5"/>
    <mergeCell ref="O5:T5"/>
    <mergeCell ref="C6:C7"/>
    <mergeCell ref="D6:D7"/>
    <mergeCell ref="E6:E7"/>
    <mergeCell ref="F6:G6"/>
    <mergeCell ref="N12:N13"/>
    <mergeCell ref="T12:T13"/>
    <mergeCell ref="H6:H7"/>
    <mergeCell ref="I6:I7"/>
    <mergeCell ref="J6:J7"/>
    <mergeCell ref="K6:K7"/>
    <mergeCell ref="L6:M6"/>
    <mergeCell ref="N6:N7"/>
    <mergeCell ref="O6:O7"/>
    <mergeCell ref="P6:P7"/>
    <mergeCell ref="Q6:Q7"/>
    <mergeCell ref="R6:S6"/>
    <mergeCell ref="T6:T7"/>
    <mergeCell ref="N15:N18"/>
    <mergeCell ref="T15:T18"/>
    <mergeCell ref="N20:N28"/>
    <mergeCell ref="T20:T28"/>
    <mergeCell ref="N30:N34"/>
    <mergeCell ref="T30:T34"/>
    <mergeCell ref="N36:N38"/>
    <mergeCell ref="T36:T38"/>
    <mergeCell ref="N40:N43"/>
    <mergeCell ref="T40:T43"/>
    <mergeCell ref="N47:N50"/>
    <mergeCell ref="T47:T50"/>
    <mergeCell ref="N52:N56"/>
    <mergeCell ref="T52:T56"/>
    <mergeCell ref="N58:N60"/>
    <mergeCell ref="T58:T60"/>
    <mergeCell ref="N62:N66"/>
    <mergeCell ref="T62:T66"/>
    <mergeCell ref="N74:N80"/>
    <mergeCell ref="T74:T80"/>
    <mergeCell ref="N82:N85"/>
    <mergeCell ref="T82:T85"/>
    <mergeCell ref="N87:N89"/>
    <mergeCell ref="T87:T89"/>
    <mergeCell ref="N91:N92"/>
    <mergeCell ref="T91:T92"/>
    <mergeCell ref="N94:N95"/>
    <mergeCell ref="T94:T95"/>
    <mergeCell ref="N97:N99"/>
    <mergeCell ref="T97:T99"/>
    <mergeCell ref="A132:T132"/>
    <mergeCell ref="N101:N108"/>
    <mergeCell ref="T101:T108"/>
    <mergeCell ref="T110:T113"/>
    <mergeCell ref="N119:N122"/>
    <mergeCell ref="T119:T122"/>
    <mergeCell ref="N125:N130"/>
    <mergeCell ref="T125:T130"/>
  </mergeCells>
  <pageMargins left="0.39370078740157483" right="0.39370078740157483" top="0.74803149606299213" bottom="0.74803149606299213" header="0.31496062992125984" footer="0.31496062992125984"/>
  <pageSetup paperSize="9" scale="80" fitToHeight="0"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08"/>
  <sheetViews>
    <sheetView topLeftCell="E1" zoomScale="115" zoomScaleNormal="115" workbookViewId="0">
      <selection activeCell="L303" sqref="L303"/>
    </sheetView>
  </sheetViews>
  <sheetFormatPr defaultColWidth="9.109375" defaultRowHeight="13.8" x14ac:dyDescent="0.25"/>
  <cols>
    <col min="1" max="1" width="9.44140625" style="883" customWidth="1"/>
    <col min="2" max="2" width="59.109375" style="884" customWidth="1"/>
    <col min="3" max="3" width="40.109375" style="922" customWidth="1"/>
    <col min="4" max="5" width="9.109375" style="884" customWidth="1"/>
    <col min="6" max="6" width="10" style="884" customWidth="1"/>
    <col min="7" max="7" width="10.33203125" style="884" customWidth="1"/>
    <col min="8" max="8" width="11.44140625" style="884" bestFit="1" customWidth="1"/>
    <col min="9" max="9" width="9.6640625" style="884" bestFit="1" customWidth="1"/>
    <col min="10" max="10" width="11.44140625" style="884" bestFit="1" customWidth="1"/>
    <col min="11" max="11" width="10.6640625" style="884" bestFit="1" customWidth="1"/>
    <col min="12" max="12" width="72" style="926" customWidth="1"/>
    <col min="13" max="16384" width="9.109375" style="871"/>
  </cols>
  <sheetData>
    <row r="1" spans="1:12" x14ac:dyDescent="0.25">
      <c r="L1" s="957" t="s">
        <v>2462</v>
      </c>
    </row>
    <row r="2" spans="1:12" x14ac:dyDescent="0.25">
      <c r="A2" s="1154" t="s">
        <v>1433</v>
      </c>
      <c r="B2" s="1154"/>
      <c r="C2" s="1154"/>
      <c r="D2" s="1154"/>
      <c r="E2" s="1154"/>
      <c r="F2" s="1154"/>
      <c r="G2" s="1154"/>
      <c r="H2" s="1154"/>
      <c r="I2" s="1154"/>
      <c r="J2" s="1154"/>
      <c r="K2" s="1154"/>
      <c r="L2" s="1154"/>
    </row>
    <row r="3" spans="1:12" x14ac:dyDescent="0.25">
      <c r="A3" s="1154"/>
      <c r="B3" s="1154"/>
      <c r="C3" s="1154"/>
      <c r="D3" s="1154"/>
      <c r="E3" s="1154"/>
      <c r="F3" s="1154"/>
      <c r="G3" s="1154"/>
      <c r="H3" s="1154"/>
      <c r="I3" s="1154"/>
      <c r="J3" s="1154"/>
      <c r="K3" s="1154"/>
      <c r="L3" s="1154"/>
    </row>
    <row r="4" spans="1:12" ht="14.4" thickBot="1" x14ac:dyDescent="0.3"/>
    <row r="5" spans="1:12" ht="15" customHeight="1" thickTop="1" x14ac:dyDescent="0.25">
      <c r="A5" s="1155" t="s">
        <v>1434</v>
      </c>
      <c r="B5" s="1157" t="s">
        <v>1435</v>
      </c>
      <c r="C5" s="1159" t="s">
        <v>1436</v>
      </c>
      <c r="D5" s="1159"/>
      <c r="E5" s="1159"/>
      <c r="F5" s="1159"/>
      <c r="G5" s="1159"/>
      <c r="H5" s="1159"/>
      <c r="I5" s="1159"/>
      <c r="J5" s="1159"/>
      <c r="K5" s="1159"/>
      <c r="L5" s="1160" t="s">
        <v>1437</v>
      </c>
    </row>
    <row r="6" spans="1:12" ht="39" customHeight="1" x14ac:dyDescent="0.25">
      <c r="A6" s="1156"/>
      <c r="B6" s="1158"/>
      <c r="C6" s="937" t="s">
        <v>1438</v>
      </c>
      <c r="D6" s="937" t="s">
        <v>1439</v>
      </c>
      <c r="E6" s="937" t="s">
        <v>1440</v>
      </c>
      <c r="F6" s="937" t="s">
        <v>1441</v>
      </c>
      <c r="G6" s="937" t="s">
        <v>1442</v>
      </c>
      <c r="H6" s="937" t="s">
        <v>1443</v>
      </c>
      <c r="I6" s="937" t="s">
        <v>1444</v>
      </c>
      <c r="J6" s="937" t="s">
        <v>1445</v>
      </c>
      <c r="K6" s="937" t="s">
        <v>1446</v>
      </c>
      <c r="L6" s="1161"/>
    </row>
    <row r="7" spans="1:12" s="873" customFormat="1" x14ac:dyDescent="0.25">
      <c r="A7" s="1096" t="s">
        <v>1447</v>
      </c>
      <c r="B7" s="1163"/>
      <c r="C7" s="1163"/>
      <c r="D7" s="1163"/>
      <c r="E7" s="1163"/>
      <c r="F7" s="1163"/>
      <c r="G7" s="1163"/>
      <c r="H7" s="1163"/>
      <c r="I7" s="1163"/>
      <c r="J7" s="1163"/>
      <c r="K7" s="1163"/>
      <c r="L7" s="1164"/>
    </row>
    <row r="8" spans="1:12" s="874" customFormat="1" ht="15" customHeight="1" x14ac:dyDescent="0.25">
      <c r="A8" s="1093" t="s">
        <v>1448</v>
      </c>
      <c r="B8" s="1152"/>
      <c r="C8" s="1152"/>
      <c r="D8" s="1152"/>
      <c r="E8" s="1152"/>
      <c r="F8" s="1152"/>
      <c r="G8" s="1152"/>
      <c r="H8" s="1152"/>
      <c r="I8" s="1152"/>
      <c r="J8" s="1152"/>
      <c r="K8" s="1152"/>
      <c r="L8" s="1153"/>
    </row>
    <row r="9" spans="1:12" s="873" customFormat="1" ht="52.8" x14ac:dyDescent="0.25">
      <c r="A9" s="885" t="s">
        <v>1449</v>
      </c>
      <c r="B9" s="886" t="s">
        <v>1450</v>
      </c>
      <c r="C9" s="886" t="s">
        <v>1451</v>
      </c>
      <c r="D9" s="894" t="s">
        <v>1452</v>
      </c>
      <c r="E9" s="894" t="s">
        <v>1453</v>
      </c>
      <c r="F9" s="894" t="s">
        <v>1454</v>
      </c>
      <c r="G9" s="894" t="s">
        <v>1455</v>
      </c>
      <c r="H9" s="894" t="s">
        <v>1456</v>
      </c>
      <c r="I9" s="894" t="s">
        <v>1457</v>
      </c>
      <c r="J9" s="894" t="s">
        <v>1458</v>
      </c>
      <c r="K9" s="894" t="s">
        <v>1459</v>
      </c>
      <c r="L9" s="927" t="s">
        <v>1460</v>
      </c>
    </row>
    <row r="10" spans="1:12" s="874" customFormat="1" ht="15" customHeight="1" x14ac:dyDescent="0.25">
      <c r="A10" s="1093" t="s">
        <v>1461</v>
      </c>
      <c r="B10" s="1152"/>
      <c r="C10" s="1152"/>
      <c r="D10" s="1152"/>
      <c r="E10" s="1152"/>
      <c r="F10" s="1152"/>
      <c r="G10" s="1152"/>
      <c r="H10" s="1152"/>
      <c r="I10" s="1152"/>
      <c r="J10" s="1152"/>
      <c r="K10" s="1152"/>
      <c r="L10" s="1153"/>
    </row>
    <row r="11" spans="1:12" s="874" customFormat="1" ht="39.6" x14ac:dyDescent="0.25">
      <c r="A11" s="1150" t="s">
        <v>1462</v>
      </c>
      <c r="B11" s="1151" t="s">
        <v>1463</v>
      </c>
      <c r="C11" s="888" t="s">
        <v>1464</v>
      </c>
      <c r="D11" s="924" t="s">
        <v>1465</v>
      </c>
      <c r="E11" s="924" t="s">
        <v>1466</v>
      </c>
      <c r="F11" s="924" t="s">
        <v>1467</v>
      </c>
      <c r="G11" s="924" t="s">
        <v>1468</v>
      </c>
      <c r="H11" s="924" t="s">
        <v>1469</v>
      </c>
      <c r="I11" s="924" t="s">
        <v>1470</v>
      </c>
      <c r="J11" s="894" t="s">
        <v>1471</v>
      </c>
      <c r="K11" s="894" t="s">
        <v>1472</v>
      </c>
      <c r="L11" s="1098" t="s">
        <v>1460</v>
      </c>
    </row>
    <row r="12" spans="1:12" s="874" customFormat="1" ht="39.6" x14ac:dyDescent="0.25">
      <c r="A12" s="1150"/>
      <c r="B12" s="1151"/>
      <c r="C12" s="888" t="s">
        <v>1473</v>
      </c>
      <c r="D12" s="924" t="s">
        <v>1474</v>
      </c>
      <c r="E12" s="924" t="s">
        <v>1475</v>
      </c>
      <c r="F12" s="924" t="s">
        <v>1476</v>
      </c>
      <c r="G12" s="924" t="s">
        <v>1477</v>
      </c>
      <c r="H12" s="924" t="s">
        <v>1478</v>
      </c>
      <c r="I12" s="924" t="s">
        <v>1479</v>
      </c>
      <c r="J12" s="894" t="s">
        <v>1480</v>
      </c>
      <c r="K12" s="894" t="s">
        <v>1481</v>
      </c>
      <c r="L12" s="1162"/>
    </row>
    <row r="13" spans="1:12" s="874" customFormat="1" ht="39.6" x14ac:dyDescent="0.25">
      <c r="A13" s="1150"/>
      <c r="B13" s="1151"/>
      <c r="C13" s="888" t="s">
        <v>1482</v>
      </c>
      <c r="D13" s="924" t="s">
        <v>1476</v>
      </c>
      <c r="E13" s="924" t="s">
        <v>1483</v>
      </c>
      <c r="F13" s="924" t="s">
        <v>1484</v>
      </c>
      <c r="G13" s="924" t="s">
        <v>1485</v>
      </c>
      <c r="H13" s="924" t="s">
        <v>1486</v>
      </c>
      <c r="I13" s="924" t="s">
        <v>1487</v>
      </c>
      <c r="J13" s="894" t="s">
        <v>1488</v>
      </c>
      <c r="K13" s="894" t="s">
        <v>1489</v>
      </c>
      <c r="L13" s="1162"/>
    </row>
    <row r="14" spans="1:12" s="874" customFormat="1" ht="39.6" x14ac:dyDescent="0.25">
      <c r="A14" s="1150"/>
      <c r="B14" s="1151"/>
      <c r="C14" s="888" t="s">
        <v>1490</v>
      </c>
      <c r="D14" s="924" t="s">
        <v>1491</v>
      </c>
      <c r="E14" s="924" t="s">
        <v>1492</v>
      </c>
      <c r="F14" s="924" t="s">
        <v>1493</v>
      </c>
      <c r="G14" s="924" t="s">
        <v>1494</v>
      </c>
      <c r="H14" s="924" t="s">
        <v>479</v>
      </c>
      <c r="I14" s="924" t="s">
        <v>1495</v>
      </c>
      <c r="J14" s="894" t="s">
        <v>1496</v>
      </c>
      <c r="K14" s="894" t="s">
        <v>1497</v>
      </c>
      <c r="L14" s="1162"/>
    </row>
    <row r="15" spans="1:12" s="874" customFormat="1" ht="37.5" customHeight="1" x14ac:dyDescent="0.25">
      <c r="A15" s="887" t="s">
        <v>1498</v>
      </c>
      <c r="B15" s="888" t="s">
        <v>1499</v>
      </c>
      <c r="C15" s="888" t="s">
        <v>1500</v>
      </c>
      <c r="D15" s="924" t="s">
        <v>1501</v>
      </c>
      <c r="E15" s="924" t="s">
        <v>1501</v>
      </c>
      <c r="F15" s="924" t="s">
        <v>1501</v>
      </c>
      <c r="G15" s="924" t="s">
        <v>1501</v>
      </c>
      <c r="H15" s="924" t="s">
        <v>1501</v>
      </c>
      <c r="I15" s="924" t="s">
        <v>1501</v>
      </c>
      <c r="J15" s="894" t="s">
        <v>1502</v>
      </c>
      <c r="K15" s="894" t="s">
        <v>1503</v>
      </c>
      <c r="L15" s="1162"/>
    </row>
    <row r="16" spans="1:12" s="874" customFormat="1" ht="39.6" x14ac:dyDescent="0.25">
      <c r="A16" s="887" t="s">
        <v>1504</v>
      </c>
      <c r="B16" s="889" t="s">
        <v>1505</v>
      </c>
      <c r="C16" s="888" t="s">
        <v>1506</v>
      </c>
      <c r="D16" s="924" t="s">
        <v>1501</v>
      </c>
      <c r="E16" s="924" t="s">
        <v>1501</v>
      </c>
      <c r="F16" s="924" t="s">
        <v>1501</v>
      </c>
      <c r="G16" s="924" t="s">
        <v>1501</v>
      </c>
      <c r="H16" s="924" t="s">
        <v>1501</v>
      </c>
      <c r="I16" s="924" t="s">
        <v>1501</v>
      </c>
      <c r="J16" s="894" t="s">
        <v>473</v>
      </c>
      <c r="K16" s="894" t="s">
        <v>1507</v>
      </c>
      <c r="L16" s="1162"/>
    </row>
    <row r="17" spans="1:12" s="874" customFormat="1" ht="39.6" x14ac:dyDescent="0.25">
      <c r="A17" s="1150" t="s">
        <v>1508</v>
      </c>
      <c r="B17" s="1151" t="s">
        <v>1509</v>
      </c>
      <c r="C17" s="888" t="s">
        <v>1473</v>
      </c>
      <c r="D17" s="924" t="s">
        <v>1510</v>
      </c>
      <c r="E17" s="924" t="s">
        <v>1511</v>
      </c>
      <c r="F17" s="924" t="s">
        <v>1512</v>
      </c>
      <c r="G17" s="924" t="s">
        <v>1513</v>
      </c>
      <c r="H17" s="924" t="s">
        <v>1514</v>
      </c>
      <c r="I17" s="924" t="s">
        <v>1515</v>
      </c>
      <c r="J17" s="894" t="s">
        <v>1516</v>
      </c>
      <c r="K17" s="894" t="s">
        <v>1517</v>
      </c>
      <c r="L17" s="1098" t="s">
        <v>1518</v>
      </c>
    </row>
    <row r="18" spans="1:12" s="874" customFormat="1" ht="39.6" x14ac:dyDescent="0.25">
      <c r="A18" s="1150"/>
      <c r="B18" s="1151"/>
      <c r="C18" s="888" t="s">
        <v>1482</v>
      </c>
      <c r="D18" s="924" t="s">
        <v>1519</v>
      </c>
      <c r="E18" s="924" t="s">
        <v>1520</v>
      </c>
      <c r="F18" s="924" t="s">
        <v>1521</v>
      </c>
      <c r="G18" s="924" t="s">
        <v>1522</v>
      </c>
      <c r="H18" s="924" t="s">
        <v>1523</v>
      </c>
      <c r="I18" s="924" t="s">
        <v>1524</v>
      </c>
      <c r="J18" s="894" t="s">
        <v>1525</v>
      </c>
      <c r="K18" s="894" t="s">
        <v>1526</v>
      </c>
      <c r="L18" s="1098"/>
    </row>
    <row r="19" spans="1:12" s="874" customFormat="1" ht="39.6" x14ac:dyDescent="0.25">
      <c r="A19" s="1150"/>
      <c r="B19" s="1151"/>
      <c r="C19" s="888" t="s">
        <v>1464</v>
      </c>
      <c r="D19" s="924" t="s">
        <v>1527</v>
      </c>
      <c r="E19" s="924" t="s">
        <v>1528</v>
      </c>
      <c r="F19" s="924" t="s">
        <v>1529</v>
      </c>
      <c r="G19" s="924" t="s">
        <v>1530</v>
      </c>
      <c r="H19" s="924" t="s">
        <v>514</v>
      </c>
      <c r="I19" s="924" t="s">
        <v>1531</v>
      </c>
      <c r="J19" s="894" t="s">
        <v>1532</v>
      </c>
      <c r="K19" s="894" t="s">
        <v>1533</v>
      </c>
      <c r="L19" s="1098"/>
    </row>
    <row r="20" spans="1:12" s="874" customFormat="1" ht="39.6" x14ac:dyDescent="0.25">
      <c r="A20" s="1150" t="s">
        <v>17</v>
      </c>
      <c r="B20" s="1151" t="s">
        <v>1534</v>
      </c>
      <c r="C20" s="888" t="s">
        <v>1473</v>
      </c>
      <c r="D20" s="924" t="s">
        <v>1535</v>
      </c>
      <c r="E20" s="924" t="s">
        <v>1536</v>
      </c>
      <c r="F20" s="924" t="s">
        <v>1537</v>
      </c>
      <c r="G20" s="924" t="s">
        <v>1538</v>
      </c>
      <c r="H20" s="924" t="s">
        <v>1539</v>
      </c>
      <c r="I20" s="924" t="s">
        <v>1540</v>
      </c>
      <c r="J20" s="894" t="s">
        <v>1541</v>
      </c>
      <c r="K20" s="894" t="s">
        <v>1542</v>
      </c>
      <c r="L20" s="1098" t="s">
        <v>1518</v>
      </c>
    </row>
    <row r="21" spans="1:12" s="874" customFormat="1" ht="39.6" x14ac:dyDescent="0.25">
      <c r="A21" s="1150"/>
      <c r="B21" s="1151"/>
      <c r="C21" s="888" t="s">
        <v>1482</v>
      </c>
      <c r="D21" s="924" t="s">
        <v>1543</v>
      </c>
      <c r="E21" s="924" t="s">
        <v>1544</v>
      </c>
      <c r="F21" s="924" t="s">
        <v>1545</v>
      </c>
      <c r="G21" s="924" t="s">
        <v>1546</v>
      </c>
      <c r="H21" s="924" t="s">
        <v>1547</v>
      </c>
      <c r="I21" s="924" t="s">
        <v>1548</v>
      </c>
      <c r="J21" s="894" t="s">
        <v>1549</v>
      </c>
      <c r="K21" s="894" t="s">
        <v>1550</v>
      </c>
      <c r="L21" s="1098"/>
    </row>
    <row r="22" spans="1:12" s="874" customFormat="1" ht="39.6" x14ac:dyDescent="0.25">
      <c r="A22" s="1150"/>
      <c r="B22" s="1151"/>
      <c r="C22" s="888" t="s">
        <v>1490</v>
      </c>
      <c r="D22" s="924" t="s">
        <v>1469</v>
      </c>
      <c r="E22" s="924" t="s">
        <v>1551</v>
      </c>
      <c r="F22" s="924" t="s">
        <v>1552</v>
      </c>
      <c r="G22" s="924" t="s">
        <v>1553</v>
      </c>
      <c r="H22" s="924" t="s">
        <v>1554</v>
      </c>
      <c r="I22" s="924" t="s">
        <v>1555</v>
      </c>
      <c r="J22" s="894" t="s">
        <v>1556</v>
      </c>
      <c r="K22" s="894" t="s">
        <v>1557</v>
      </c>
      <c r="L22" s="1098"/>
    </row>
    <row r="23" spans="1:12" s="874" customFormat="1" ht="39.6" x14ac:dyDescent="0.25">
      <c r="A23" s="1150"/>
      <c r="B23" s="1151"/>
      <c r="C23" s="888" t="s">
        <v>1464</v>
      </c>
      <c r="D23" s="924" t="s">
        <v>1558</v>
      </c>
      <c r="E23" s="924" t="s">
        <v>1559</v>
      </c>
      <c r="F23" s="924" t="s">
        <v>1522</v>
      </c>
      <c r="G23" s="924" t="s">
        <v>1560</v>
      </c>
      <c r="H23" s="924" t="s">
        <v>1561</v>
      </c>
      <c r="I23" s="924" t="s">
        <v>1562</v>
      </c>
      <c r="J23" s="894" t="s">
        <v>1563</v>
      </c>
      <c r="K23" s="894" t="s">
        <v>1564</v>
      </c>
      <c r="L23" s="1098"/>
    </row>
    <row r="24" spans="1:12" s="874" customFormat="1" ht="39.6" x14ac:dyDescent="0.25">
      <c r="A24" s="1102" t="s">
        <v>201</v>
      </c>
      <c r="B24" s="1151" t="s">
        <v>1565</v>
      </c>
      <c r="C24" s="888" t="s">
        <v>1473</v>
      </c>
      <c r="D24" s="924" t="s">
        <v>1566</v>
      </c>
      <c r="E24" s="924" t="s">
        <v>1567</v>
      </c>
      <c r="F24" s="924" t="s">
        <v>1568</v>
      </c>
      <c r="G24" s="924" t="s">
        <v>1569</v>
      </c>
      <c r="H24" s="924" t="s">
        <v>1570</v>
      </c>
      <c r="I24" s="924" t="s">
        <v>1571</v>
      </c>
      <c r="J24" s="894" t="s">
        <v>1572</v>
      </c>
      <c r="K24" s="894" t="s">
        <v>1573</v>
      </c>
      <c r="L24" s="1098" t="s">
        <v>1518</v>
      </c>
    </row>
    <row r="25" spans="1:12" s="874" customFormat="1" ht="39.6" x14ac:dyDescent="0.25">
      <c r="A25" s="1102"/>
      <c r="B25" s="1151"/>
      <c r="C25" s="888" t="s">
        <v>1482</v>
      </c>
      <c r="D25" s="924" t="s">
        <v>1574</v>
      </c>
      <c r="E25" s="924" t="s">
        <v>1575</v>
      </c>
      <c r="F25" s="924" t="s">
        <v>1576</v>
      </c>
      <c r="G25" s="924" t="s">
        <v>1577</v>
      </c>
      <c r="H25" s="924" t="s">
        <v>1578</v>
      </c>
      <c r="I25" s="924" t="s">
        <v>1579</v>
      </c>
      <c r="J25" s="894" t="s">
        <v>1580</v>
      </c>
      <c r="K25" s="894" t="s">
        <v>1581</v>
      </c>
      <c r="L25" s="1098"/>
    </row>
    <row r="26" spans="1:12" s="875" customFormat="1" ht="39.6" x14ac:dyDescent="0.25">
      <c r="A26" s="1102"/>
      <c r="B26" s="1151"/>
      <c r="C26" s="886" t="s">
        <v>1490</v>
      </c>
      <c r="D26" s="925" t="s">
        <v>1582</v>
      </c>
      <c r="E26" s="925" t="s">
        <v>1583</v>
      </c>
      <c r="F26" s="925" t="s">
        <v>1584</v>
      </c>
      <c r="G26" s="925" t="s">
        <v>1585</v>
      </c>
      <c r="H26" s="925" t="s">
        <v>1586</v>
      </c>
      <c r="I26" s="925" t="s">
        <v>1587</v>
      </c>
      <c r="J26" s="925" t="s">
        <v>1588</v>
      </c>
      <c r="K26" s="925" t="s">
        <v>1589</v>
      </c>
      <c r="L26" s="1098"/>
    </row>
    <row r="27" spans="1:12" s="875" customFormat="1" ht="39.6" x14ac:dyDescent="0.25">
      <c r="A27" s="1102"/>
      <c r="B27" s="1151"/>
      <c r="C27" s="886" t="s">
        <v>1464</v>
      </c>
      <c r="D27" s="925" t="s">
        <v>1590</v>
      </c>
      <c r="E27" s="925" t="s">
        <v>1591</v>
      </c>
      <c r="F27" s="925" t="s">
        <v>1592</v>
      </c>
      <c r="G27" s="925" t="s">
        <v>1593</v>
      </c>
      <c r="H27" s="925" t="s">
        <v>1594</v>
      </c>
      <c r="I27" s="925" t="s">
        <v>1595</v>
      </c>
      <c r="J27" s="925" t="s">
        <v>1596</v>
      </c>
      <c r="K27" s="925" t="s">
        <v>1597</v>
      </c>
      <c r="L27" s="1098"/>
    </row>
    <row r="28" spans="1:12" s="875" customFormat="1" x14ac:dyDescent="0.25">
      <c r="A28" s="1147" t="s">
        <v>1598</v>
      </c>
      <c r="B28" s="1148"/>
      <c r="C28" s="1148"/>
      <c r="D28" s="1148"/>
      <c r="E28" s="1148"/>
      <c r="F28" s="1148"/>
      <c r="G28" s="1148"/>
      <c r="H28" s="1148"/>
      <c r="I28" s="1148"/>
      <c r="J28" s="1148"/>
      <c r="K28" s="1148"/>
      <c r="L28" s="1149"/>
    </row>
    <row r="29" spans="1:12" s="875" customFormat="1" ht="26.4" x14ac:dyDescent="0.25">
      <c r="A29" s="1150" t="s">
        <v>1599</v>
      </c>
      <c r="B29" s="1151" t="s">
        <v>1600</v>
      </c>
      <c r="C29" s="904" t="s">
        <v>1601</v>
      </c>
      <c r="D29" s="925" t="s">
        <v>1501</v>
      </c>
      <c r="E29" s="925" t="s">
        <v>1501</v>
      </c>
      <c r="F29" s="925" t="s">
        <v>1501</v>
      </c>
      <c r="G29" s="925" t="s">
        <v>1501</v>
      </c>
      <c r="H29" s="925" t="s">
        <v>1501</v>
      </c>
      <c r="I29" s="925" t="s">
        <v>1501</v>
      </c>
      <c r="J29" s="925" t="s">
        <v>1602</v>
      </c>
      <c r="K29" s="925" t="s">
        <v>1501</v>
      </c>
      <c r="L29" s="1098" t="s">
        <v>1603</v>
      </c>
    </row>
    <row r="30" spans="1:12" s="875" customFormat="1" ht="26.4" x14ac:dyDescent="0.25">
      <c r="A30" s="1150"/>
      <c r="B30" s="1151"/>
      <c r="C30" s="904" t="s">
        <v>1604</v>
      </c>
      <c r="D30" s="925" t="s">
        <v>1501</v>
      </c>
      <c r="E30" s="925" t="s">
        <v>1501</v>
      </c>
      <c r="F30" s="925" t="s">
        <v>1501</v>
      </c>
      <c r="G30" s="925" t="s">
        <v>1501</v>
      </c>
      <c r="H30" s="925" t="s">
        <v>1501</v>
      </c>
      <c r="I30" s="925" t="s">
        <v>1501</v>
      </c>
      <c r="J30" s="925" t="s">
        <v>1605</v>
      </c>
      <c r="K30" s="925" t="s">
        <v>1501</v>
      </c>
      <c r="L30" s="1098"/>
    </row>
    <row r="31" spans="1:12" s="875" customFormat="1" ht="52.8" x14ac:dyDescent="0.25">
      <c r="A31" s="1150"/>
      <c r="B31" s="1151"/>
      <c r="C31" s="886" t="s">
        <v>1606</v>
      </c>
      <c r="D31" s="925" t="s">
        <v>1607</v>
      </c>
      <c r="E31" s="925" t="s">
        <v>1608</v>
      </c>
      <c r="F31" s="925" t="s">
        <v>1607</v>
      </c>
      <c r="G31" s="925" t="s">
        <v>1609</v>
      </c>
      <c r="H31" s="925" t="s">
        <v>1607</v>
      </c>
      <c r="I31" s="925" t="s">
        <v>1610</v>
      </c>
      <c r="J31" s="925" t="s">
        <v>1611</v>
      </c>
      <c r="K31" s="925" t="s">
        <v>1612</v>
      </c>
      <c r="L31" s="927" t="s">
        <v>1613</v>
      </c>
    </row>
    <row r="32" spans="1:12" s="875" customFormat="1" ht="79.2" x14ac:dyDescent="0.25">
      <c r="A32" s="887" t="s">
        <v>1614</v>
      </c>
      <c r="B32" s="889" t="s">
        <v>1615</v>
      </c>
      <c r="C32" s="886" t="s">
        <v>1616</v>
      </c>
      <c r="D32" s="925" t="s">
        <v>1501</v>
      </c>
      <c r="E32" s="925" t="s">
        <v>1501</v>
      </c>
      <c r="F32" s="925" t="s">
        <v>1501</v>
      </c>
      <c r="G32" s="925" t="s">
        <v>1501</v>
      </c>
      <c r="H32" s="925" t="s">
        <v>1501</v>
      </c>
      <c r="I32" s="925" t="s">
        <v>1501</v>
      </c>
      <c r="J32" s="925" t="s">
        <v>206</v>
      </c>
      <c r="K32" s="925" t="s">
        <v>205</v>
      </c>
      <c r="L32" s="927" t="s">
        <v>1617</v>
      </c>
    </row>
    <row r="33" spans="1:12" s="874" customFormat="1" ht="15" customHeight="1" x14ac:dyDescent="0.25">
      <c r="A33" s="1093" t="s">
        <v>1618</v>
      </c>
      <c r="B33" s="1152"/>
      <c r="C33" s="1152"/>
      <c r="D33" s="1152"/>
      <c r="E33" s="1152"/>
      <c r="F33" s="1152"/>
      <c r="G33" s="1152"/>
      <c r="H33" s="1152"/>
      <c r="I33" s="1152"/>
      <c r="J33" s="1152"/>
      <c r="K33" s="1152"/>
      <c r="L33" s="1153"/>
    </row>
    <row r="34" spans="1:12" s="875" customFormat="1" ht="39.6" x14ac:dyDescent="0.25">
      <c r="A34" s="887" t="s">
        <v>1619</v>
      </c>
      <c r="B34" s="888" t="s">
        <v>1620</v>
      </c>
      <c r="C34" s="886" t="s">
        <v>1621</v>
      </c>
      <c r="D34" s="925" t="s">
        <v>1622</v>
      </c>
      <c r="E34" s="925" t="s">
        <v>1623</v>
      </c>
      <c r="F34" s="925" t="s">
        <v>1624</v>
      </c>
      <c r="G34" s="925" t="s">
        <v>1625</v>
      </c>
      <c r="H34" s="925" t="s">
        <v>1626</v>
      </c>
      <c r="I34" s="925" t="s">
        <v>1627</v>
      </c>
      <c r="J34" s="925" t="s">
        <v>1628</v>
      </c>
      <c r="K34" s="925" t="s">
        <v>1629</v>
      </c>
      <c r="L34" s="928" t="s">
        <v>1518</v>
      </c>
    </row>
    <row r="35" spans="1:12" s="874" customFormat="1" ht="15" customHeight="1" x14ac:dyDescent="0.25">
      <c r="A35" s="1093" t="s">
        <v>1630</v>
      </c>
      <c r="B35" s="1152"/>
      <c r="C35" s="1152"/>
      <c r="D35" s="1152"/>
      <c r="E35" s="1152"/>
      <c r="F35" s="1152"/>
      <c r="G35" s="1152"/>
      <c r="H35" s="1152"/>
      <c r="I35" s="1152"/>
      <c r="J35" s="1152"/>
      <c r="K35" s="1152"/>
      <c r="L35" s="1153"/>
    </row>
    <row r="36" spans="1:12" s="875" customFormat="1" ht="39" customHeight="1" x14ac:dyDescent="0.25">
      <c r="A36" s="887" t="s">
        <v>1619</v>
      </c>
      <c r="B36" s="888" t="s">
        <v>1631</v>
      </c>
      <c r="C36" s="886" t="s">
        <v>1632</v>
      </c>
      <c r="D36" s="925" t="s">
        <v>1633</v>
      </c>
      <c r="E36" s="925" t="s">
        <v>1634</v>
      </c>
      <c r="F36" s="925" t="s">
        <v>1635</v>
      </c>
      <c r="G36" s="925" t="s">
        <v>1636</v>
      </c>
      <c r="H36" s="925" t="s">
        <v>1637</v>
      </c>
      <c r="I36" s="925" t="s">
        <v>1638</v>
      </c>
      <c r="J36" s="925" t="s">
        <v>1639</v>
      </c>
      <c r="K36" s="925" t="s">
        <v>1640</v>
      </c>
      <c r="L36" s="928" t="s">
        <v>1518</v>
      </c>
    </row>
    <row r="37" spans="1:12" x14ac:dyDescent="0.25">
      <c r="A37" s="1099" t="s">
        <v>1641</v>
      </c>
      <c r="B37" s="1100"/>
      <c r="C37" s="1100"/>
      <c r="D37" s="1100"/>
      <c r="E37" s="1100"/>
      <c r="F37" s="1100"/>
      <c r="G37" s="1100"/>
      <c r="H37" s="1100"/>
      <c r="I37" s="1100"/>
      <c r="J37" s="1100"/>
      <c r="K37" s="1100"/>
      <c r="L37" s="1101"/>
    </row>
    <row r="38" spans="1:12" ht="70.5" customHeight="1" x14ac:dyDescent="0.25">
      <c r="A38" s="1105" t="s">
        <v>1642</v>
      </c>
      <c r="B38" s="1106" t="s">
        <v>1643</v>
      </c>
      <c r="C38" s="891" t="s">
        <v>1644</v>
      </c>
      <c r="D38" s="891" t="s">
        <v>1501</v>
      </c>
      <c r="E38" s="891" t="s">
        <v>1501</v>
      </c>
      <c r="F38" s="891" t="s">
        <v>1501</v>
      </c>
      <c r="G38" s="891" t="s">
        <v>1501</v>
      </c>
      <c r="H38" s="891" t="s">
        <v>1645</v>
      </c>
      <c r="I38" s="891" t="s">
        <v>1501</v>
      </c>
      <c r="J38" s="891"/>
      <c r="K38" s="891" t="s">
        <v>1646</v>
      </c>
      <c r="L38" s="1146" t="s">
        <v>1647</v>
      </c>
    </row>
    <row r="39" spans="1:12" ht="34.5" customHeight="1" x14ac:dyDescent="0.25">
      <c r="A39" s="1105"/>
      <c r="B39" s="1106"/>
      <c r="C39" s="891" t="s">
        <v>1648</v>
      </c>
      <c r="D39" s="891" t="s">
        <v>1501</v>
      </c>
      <c r="E39" s="891" t="s">
        <v>1501</v>
      </c>
      <c r="F39" s="891" t="s">
        <v>1501</v>
      </c>
      <c r="G39" s="891" t="s">
        <v>1501</v>
      </c>
      <c r="H39" s="891" t="s">
        <v>1501</v>
      </c>
      <c r="I39" s="891" t="s">
        <v>1501</v>
      </c>
      <c r="J39" s="952">
        <v>22</v>
      </c>
      <c r="K39" s="952">
        <v>0.28000000000000003</v>
      </c>
      <c r="L39" s="1146"/>
    </row>
    <row r="40" spans="1:12" ht="40.5" customHeight="1" x14ac:dyDescent="0.25">
      <c r="A40" s="890" t="s">
        <v>1649</v>
      </c>
      <c r="B40" s="891" t="s">
        <v>1650</v>
      </c>
      <c r="C40" s="891" t="s">
        <v>1651</v>
      </c>
      <c r="D40" s="938" t="s">
        <v>1501</v>
      </c>
      <c r="E40" s="938" t="s">
        <v>1501</v>
      </c>
      <c r="F40" s="938" t="s">
        <v>1501</v>
      </c>
      <c r="G40" s="938" t="s">
        <v>1501</v>
      </c>
      <c r="H40" s="938" t="s">
        <v>1501</v>
      </c>
      <c r="I40" s="938" t="s">
        <v>1501</v>
      </c>
      <c r="J40" s="938" t="s">
        <v>1652</v>
      </c>
      <c r="K40" s="938" t="s">
        <v>1501</v>
      </c>
      <c r="L40" s="929" t="s">
        <v>1653</v>
      </c>
    </row>
    <row r="41" spans="1:12" ht="52.8" x14ac:dyDescent="0.25">
      <c r="A41" s="892" t="s">
        <v>1654</v>
      </c>
      <c r="B41" s="891" t="s">
        <v>1655</v>
      </c>
      <c r="C41" s="891" t="s">
        <v>1656</v>
      </c>
      <c r="D41" s="938" t="s">
        <v>1501</v>
      </c>
      <c r="E41" s="938" t="s">
        <v>1501</v>
      </c>
      <c r="F41" s="938" t="s">
        <v>1501</v>
      </c>
      <c r="G41" s="938" t="s">
        <v>1501</v>
      </c>
      <c r="H41" s="938" t="s">
        <v>1657</v>
      </c>
      <c r="I41" s="938" t="s">
        <v>1501</v>
      </c>
      <c r="J41" s="938"/>
      <c r="K41" s="938" t="s">
        <v>1658</v>
      </c>
      <c r="L41" s="929" t="s">
        <v>1659</v>
      </c>
    </row>
    <row r="42" spans="1:12" ht="42.75" customHeight="1" x14ac:dyDescent="0.25">
      <c r="A42" s="892" t="s">
        <v>1660</v>
      </c>
      <c r="B42" s="891" t="s">
        <v>1661</v>
      </c>
      <c r="C42" s="891" t="s">
        <v>1662</v>
      </c>
      <c r="D42" s="938" t="s">
        <v>1501</v>
      </c>
      <c r="E42" s="938" t="s">
        <v>1501</v>
      </c>
      <c r="F42" s="938" t="s">
        <v>1501</v>
      </c>
      <c r="G42" s="938" t="s">
        <v>1501</v>
      </c>
      <c r="H42" s="938" t="s">
        <v>1501</v>
      </c>
      <c r="I42" s="938" t="s">
        <v>1501</v>
      </c>
      <c r="J42" s="938" t="s">
        <v>1663</v>
      </c>
      <c r="K42" s="938" t="s">
        <v>1664</v>
      </c>
      <c r="L42" s="929" t="s">
        <v>1665</v>
      </c>
    </row>
    <row r="43" spans="1:12" ht="39.6" x14ac:dyDescent="0.25">
      <c r="A43" s="1105" t="s">
        <v>1498</v>
      </c>
      <c r="B43" s="1106" t="s">
        <v>1666</v>
      </c>
      <c r="C43" s="891" t="s">
        <v>1667</v>
      </c>
      <c r="D43" s="938" t="s">
        <v>1501</v>
      </c>
      <c r="E43" s="938" t="s">
        <v>1501</v>
      </c>
      <c r="F43" s="938" t="s">
        <v>1501</v>
      </c>
      <c r="G43" s="938" t="s">
        <v>1501</v>
      </c>
      <c r="H43" s="938" t="s">
        <v>1501</v>
      </c>
      <c r="I43" s="938" t="s">
        <v>1501</v>
      </c>
      <c r="J43" s="938" t="s">
        <v>1668</v>
      </c>
      <c r="K43" s="938" t="s">
        <v>1501</v>
      </c>
      <c r="L43" s="929" t="s">
        <v>1669</v>
      </c>
    </row>
    <row r="44" spans="1:12" s="872" customFormat="1" ht="52.8" x14ac:dyDescent="0.25">
      <c r="A44" s="1105"/>
      <c r="B44" s="1106"/>
      <c r="C44" s="891" t="s">
        <v>1670</v>
      </c>
      <c r="D44" s="938" t="s">
        <v>1501</v>
      </c>
      <c r="E44" s="938" t="s">
        <v>1501</v>
      </c>
      <c r="F44" s="938" t="s">
        <v>1501</v>
      </c>
      <c r="G44" s="938" t="s">
        <v>1501</v>
      </c>
      <c r="H44" s="938" t="s">
        <v>1501</v>
      </c>
      <c r="I44" s="938" t="s">
        <v>1501</v>
      </c>
      <c r="J44" s="938" t="s">
        <v>1668</v>
      </c>
      <c r="K44" s="938" t="s">
        <v>1501</v>
      </c>
      <c r="L44" s="929" t="s">
        <v>1671</v>
      </c>
    </row>
    <row r="45" spans="1:12" s="872" customFormat="1" ht="79.2" x14ac:dyDescent="0.25">
      <c r="A45" s="1105"/>
      <c r="B45" s="1106"/>
      <c r="C45" s="891" t="s">
        <v>1672</v>
      </c>
      <c r="D45" s="938" t="s">
        <v>1501</v>
      </c>
      <c r="E45" s="938" t="s">
        <v>1501</v>
      </c>
      <c r="F45" s="938" t="s">
        <v>1501</v>
      </c>
      <c r="G45" s="938" t="s">
        <v>1501</v>
      </c>
      <c r="H45" s="938" t="s">
        <v>1501</v>
      </c>
      <c r="I45" s="938" t="s">
        <v>1501</v>
      </c>
      <c r="J45" s="938" t="s">
        <v>1668</v>
      </c>
      <c r="K45" s="938" t="s">
        <v>1501</v>
      </c>
      <c r="L45" s="930" t="s">
        <v>1673</v>
      </c>
    </row>
    <row r="46" spans="1:12" s="872" customFormat="1" ht="184.8" x14ac:dyDescent="0.25">
      <c r="A46" s="885" t="s">
        <v>1504</v>
      </c>
      <c r="B46" s="886" t="s">
        <v>1674</v>
      </c>
      <c r="C46" s="886" t="s">
        <v>1675</v>
      </c>
      <c r="D46" s="894" t="s">
        <v>1501</v>
      </c>
      <c r="E46" s="894" t="s">
        <v>1501</v>
      </c>
      <c r="F46" s="894" t="s">
        <v>1501</v>
      </c>
      <c r="G46" s="894" t="s">
        <v>1501</v>
      </c>
      <c r="H46" s="894" t="s">
        <v>1501</v>
      </c>
      <c r="I46" s="894" t="s">
        <v>1501</v>
      </c>
      <c r="J46" s="894" t="s">
        <v>1602</v>
      </c>
      <c r="K46" s="894" t="s">
        <v>1501</v>
      </c>
      <c r="L46" s="953" t="s">
        <v>1676</v>
      </c>
    </row>
    <row r="47" spans="1:12" x14ac:dyDescent="0.25">
      <c r="A47" s="1090" t="s">
        <v>1677</v>
      </c>
      <c r="B47" s="1091"/>
      <c r="C47" s="1091"/>
      <c r="D47" s="1091"/>
      <c r="E47" s="1091"/>
      <c r="F47" s="1091"/>
      <c r="G47" s="1091"/>
      <c r="H47" s="1091"/>
      <c r="I47" s="1091"/>
      <c r="J47" s="1091"/>
      <c r="K47" s="1091"/>
      <c r="L47" s="1092"/>
    </row>
    <row r="48" spans="1:12" x14ac:dyDescent="0.25">
      <c r="A48" s="1093" t="s">
        <v>1678</v>
      </c>
      <c r="B48" s="1094"/>
      <c r="C48" s="1094"/>
      <c r="D48" s="1094"/>
      <c r="E48" s="1094"/>
      <c r="F48" s="1094"/>
      <c r="G48" s="1094"/>
      <c r="H48" s="1094"/>
      <c r="I48" s="1094"/>
      <c r="J48" s="1094"/>
      <c r="K48" s="1094"/>
      <c r="L48" s="1095"/>
    </row>
    <row r="49" spans="1:12" ht="39.6" x14ac:dyDescent="0.25">
      <c r="A49" s="885" t="s">
        <v>1679</v>
      </c>
      <c r="B49" s="886" t="s">
        <v>1680</v>
      </c>
      <c r="C49" s="886" t="s">
        <v>1681</v>
      </c>
      <c r="D49" s="894" t="s">
        <v>1501</v>
      </c>
      <c r="E49" s="894" t="s">
        <v>1501</v>
      </c>
      <c r="F49" s="894" t="s">
        <v>1501</v>
      </c>
      <c r="G49" s="894" t="s">
        <v>1501</v>
      </c>
      <c r="H49" s="894" t="s">
        <v>1501</v>
      </c>
      <c r="I49" s="894" t="s">
        <v>1501</v>
      </c>
      <c r="J49" s="894" t="s">
        <v>1682</v>
      </c>
      <c r="K49" s="894" t="s">
        <v>1683</v>
      </c>
      <c r="L49" s="927" t="s">
        <v>1684</v>
      </c>
    </row>
    <row r="50" spans="1:12" ht="92.4" x14ac:dyDescent="0.25">
      <c r="A50" s="885" t="s">
        <v>1685</v>
      </c>
      <c r="B50" s="886" t="s">
        <v>1686</v>
      </c>
      <c r="C50" s="886" t="s">
        <v>1687</v>
      </c>
      <c r="D50" s="894" t="s">
        <v>1501</v>
      </c>
      <c r="E50" s="894" t="s">
        <v>1501</v>
      </c>
      <c r="F50" s="894" t="s">
        <v>1501</v>
      </c>
      <c r="G50" s="894" t="s">
        <v>1501</v>
      </c>
      <c r="H50" s="894" t="s">
        <v>1501</v>
      </c>
      <c r="I50" s="894" t="s">
        <v>1501</v>
      </c>
      <c r="J50" s="894" t="s">
        <v>206</v>
      </c>
      <c r="K50" s="894" t="s">
        <v>205</v>
      </c>
      <c r="L50" s="927" t="s">
        <v>1688</v>
      </c>
    </row>
    <row r="51" spans="1:12" ht="105.6" x14ac:dyDescent="0.25">
      <c r="A51" s="885" t="s">
        <v>1689</v>
      </c>
      <c r="B51" s="886" t="s">
        <v>1690</v>
      </c>
      <c r="C51" s="886" t="s">
        <v>1691</v>
      </c>
      <c r="D51" s="894" t="s">
        <v>1692</v>
      </c>
      <c r="E51" s="894" t="s">
        <v>1693</v>
      </c>
      <c r="F51" s="894" t="s">
        <v>1692</v>
      </c>
      <c r="G51" s="894" t="s">
        <v>475</v>
      </c>
      <c r="H51" s="894" t="s">
        <v>1694</v>
      </c>
      <c r="I51" s="894" t="s">
        <v>450</v>
      </c>
      <c r="J51" s="894" t="s">
        <v>514</v>
      </c>
      <c r="K51" s="894" t="s">
        <v>1695</v>
      </c>
      <c r="L51" s="927" t="s">
        <v>1696</v>
      </c>
    </row>
    <row r="52" spans="1:12" ht="102" customHeight="1" x14ac:dyDescent="0.25">
      <c r="A52" s="1116" t="s">
        <v>1697</v>
      </c>
      <c r="B52" s="1103" t="s">
        <v>1698</v>
      </c>
      <c r="C52" s="886" t="s">
        <v>1699</v>
      </c>
      <c r="D52" s="894" t="s">
        <v>1700</v>
      </c>
      <c r="E52" s="894" t="s">
        <v>1701</v>
      </c>
      <c r="F52" s="894" t="s">
        <v>1702</v>
      </c>
      <c r="G52" s="894" t="s">
        <v>1703</v>
      </c>
      <c r="H52" s="894" t="s">
        <v>1704</v>
      </c>
      <c r="I52" s="894" t="s">
        <v>1705</v>
      </c>
      <c r="J52" s="894" t="s">
        <v>1706</v>
      </c>
      <c r="K52" s="894" t="s">
        <v>1707</v>
      </c>
      <c r="L52" s="927" t="s">
        <v>1708</v>
      </c>
    </row>
    <row r="53" spans="1:12" ht="171.6" x14ac:dyDescent="0.25">
      <c r="A53" s="1116"/>
      <c r="B53" s="1103"/>
      <c r="C53" s="886" t="s">
        <v>1709</v>
      </c>
      <c r="D53" s="894" t="s">
        <v>1710</v>
      </c>
      <c r="E53" s="894" t="s">
        <v>1711</v>
      </c>
      <c r="F53" s="894" t="s">
        <v>1712</v>
      </c>
      <c r="G53" s="894" t="s">
        <v>1713</v>
      </c>
      <c r="H53" s="894" t="s">
        <v>1714</v>
      </c>
      <c r="I53" s="894" t="s">
        <v>1715</v>
      </c>
      <c r="J53" s="894" t="s">
        <v>1714</v>
      </c>
      <c r="K53" s="894" t="s">
        <v>1716</v>
      </c>
      <c r="L53" s="953" t="s">
        <v>1717</v>
      </c>
    </row>
    <row r="54" spans="1:12" x14ac:dyDescent="0.25">
      <c r="A54" s="1125" t="s">
        <v>2439</v>
      </c>
      <c r="B54" s="1144"/>
      <c r="C54" s="1144"/>
      <c r="D54" s="1144"/>
      <c r="E54" s="1144"/>
      <c r="F54" s="1144"/>
      <c r="G54" s="1144"/>
      <c r="H54" s="1144"/>
      <c r="I54" s="1144"/>
      <c r="J54" s="1144"/>
      <c r="K54" s="1144"/>
      <c r="L54" s="1145"/>
    </row>
    <row r="55" spans="1:12" ht="66" x14ac:dyDescent="0.25">
      <c r="A55" s="1116" t="s">
        <v>1718</v>
      </c>
      <c r="B55" s="1103" t="s">
        <v>1719</v>
      </c>
      <c r="C55" s="886" t="s">
        <v>1720</v>
      </c>
      <c r="D55" s="894" t="s">
        <v>1501</v>
      </c>
      <c r="E55" s="894" t="s">
        <v>1501</v>
      </c>
      <c r="F55" s="894" t="s">
        <v>1501</v>
      </c>
      <c r="G55" s="894" t="s">
        <v>1501</v>
      </c>
      <c r="H55" s="894" t="s">
        <v>1501</v>
      </c>
      <c r="I55" s="894" t="s">
        <v>1501</v>
      </c>
      <c r="J55" s="894" t="s">
        <v>17</v>
      </c>
      <c r="K55" s="894" t="s">
        <v>15</v>
      </c>
      <c r="L55" s="1098" t="s">
        <v>1696</v>
      </c>
    </row>
    <row r="56" spans="1:12" ht="66" x14ac:dyDescent="0.25">
      <c r="A56" s="1116"/>
      <c r="B56" s="1103"/>
      <c r="C56" s="886" t="s">
        <v>1721</v>
      </c>
      <c r="D56" s="894" t="s">
        <v>1722</v>
      </c>
      <c r="E56" s="894" t="s">
        <v>1501</v>
      </c>
      <c r="F56" s="894" t="s">
        <v>1722</v>
      </c>
      <c r="G56" s="894" t="s">
        <v>1723</v>
      </c>
      <c r="H56" s="894" t="s">
        <v>1722</v>
      </c>
      <c r="I56" s="894" t="s">
        <v>1723</v>
      </c>
      <c r="J56" s="894" t="s">
        <v>1724</v>
      </c>
      <c r="K56" s="894" t="s">
        <v>1723</v>
      </c>
      <c r="L56" s="1098"/>
    </row>
    <row r="57" spans="1:12" ht="39.6" x14ac:dyDescent="0.25">
      <c r="A57" s="885" t="s">
        <v>1449</v>
      </c>
      <c r="B57" s="886" t="s">
        <v>1725</v>
      </c>
      <c r="C57" s="886" t="s">
        <v>1726</v>
      </c>
      <c r="D57" s="894" t="s">
        <v>1727</v>
      </c>
      <c r="E57" s="894" t="s">
        <v>1495</v>
      </c>
      <c r="F57" s="894" t="s">
        <v>1728</v>
      </c>
      <c r="G57" s="894" t="s">
        <v>1723</v>
      </c>
      <c r="H57" s="894" t="s">
        <v>1729</v>
      </c>
      <c r="I57" s="894" t="s">
        <v>1730</v>
      </c>
      <c r="J57" s="894" t="s">
        <v>1731</v>
      </c>
      <c r="K57" s="894" t="s">
        <v>1732</v>
      </c>
      <c r="L57" s="927" t="s">
        <v>1733</v>
      </c>
    </row>
    <row r="58" spans="1:12" ht="145.19999999999999" x14ac:dyDescent="0.25">
      <c r="A58" s="885" t="s">
        <v>1734</v>
      </c>
      <c r="B58" s="886" t="s">
        <v>1735</v>
      </c>
      <c r="C58" s="886" t="s">
        <v>1736</v>
      </c>
      <c r="D58" s="894" t="s">
        <v>15</v>
      </c>
      <c r="E58" s="894" t="s">
        <v>15</v>
      </c>
      <c r="F58" s="894" t="s">
        <v>17</v>
      </c>
      <c r="G58" s="894" t="s">
        <v>17</v>
      </c>
      <c r="H58" s="894" t="s">
        <v>191</v>
      </c>
      <c r="I58" s="894" t="s">
        <v>191</v>
      </c>
      <c r="J58" s="894" t="s">
        <v>192</v>
      </c>
      <c r="K58" s="894" t="s">
        <v>191</v>
      </c>
      <c r="L58" s="927" t="s">
        <v>1737</v>
      </c>
    </row>
    <row r="59" spans="1:12" x14ac:dyDescent="0.25">
      <c r="A59" s="1093" t="s">
        <v>1738</v>
      </c>
      <c r="B59" s="1094"/>
      <c r="C59" s="1094"/>
      <c r="D59" s="1094"/>
      <c r="E59" s="1094"/>
      <c r="F59" s="1094"/>
      <c r="G59" s="1094"/>
      <c r="H59" s="1094"/>
      <c r="I59" s="1094"/>
      <c r="J59" s="1094"/>
      <c r="K59" s="1094"/>
      <c r="L59" s="1095"/>
    </row>
    <row r="60" spans="1:12" s="876" customFormat="1" ht="52.8" x14ac:dyDescent="0.25">
      <c r="A60" s="1116" t="s">
        <v>1739</v>
      </c>
      <c r="B60" s="1103" t="s">
        <v>1740</v>
      </c>
      <c r="C60" s="886" t="s">
        <v>1741</v>
      </c>
      <c r="D60" s="939" t="s">
        <v>1532</v>
      </c>
      <c r="E60" s="939" t="s">
        <v>1532</v>
      </c>
      <c r="F60" s="939" t="s">
        <v>1742</v>
      </c>
      <c r="G60" s="939" t="s">
        <v>1532</v>
      </c>
      <c r="H60" s="939" t="s">
        <v>1743</v>
      </c>
      <c r="I60" s="939" t="s">
        <v>1532</v>
      </c>
      <c r="J60" s="939" t="s">
        <v>1744</v>
      </c>
      <c r="K60" s="939" t="s">
        <v>1532</v>
      </c>
      <c r="L60" s="1098" t="s">
        <v>1518</v>
      </c>
    </row>
    <row r="61" spans="1:12" s="876" customFormat="1" ht="30.75" customHeight="1" x14ac:dyDescent="0.25">
      <c r="A61" s="1116"/>
      <c r="B61" s="1103"/>
      <c r="C61" s="886" t="s">
        <v>1745</v>
      </c>
      <c r="D61" s="939" t="s">
        <v>192</v>
      </c>
      <c r="E61" s="939" t="s">
        <v>1501</v>
      </c>
      <c r="F61" s="939" t="s">
        <v>192</v>
      </c>
      <c r="G61" s="939" t="s">
        <v>1501</v>
      </c>
      <c r="H61" s="939" t="s">
        <v>192</v>
      </c>
      <c r="I61" s="939" t="s">
        <v>1501</v>
      </c>
      <c r="J61" s="939" t="s">
        <v>192</v>
      </c>
      <c r="K61" s="939" t="s">
        <v>1501</v>
      </c>
      <c r="L61" s="1098"/>
    </row>
    <row r="62" spans="1:12" s="876" customFormat="1" ht="26.4" x14ac:dyDescent="0.25">
      <c r="A62" s="1116"/>
      <c r="B62" s="1103"/>
      <c r="C62" s="886" t="s">
        <v>1746</v>
      </c>
      <c r="D62" s="939" t="s">
        <v>17</v>
      </c>
      <c r="E62" s="939" t="s">
        <v>17</v>
      </c>
      <c r="F62" s="939" t="s">
        <v>200</v>
      </c>
      <c r="G62" s="939" t="s">
        <v>17</v>
      </c>
      <c r="H62" s="939" t="s">
        <v>18</v>
      </c>
      <c r="I62" s="939" t="s">
        <v>17</v>
      </c>
      <c r="J62" s="939" t="s">
        <v>20</v>
      </c>
      <c r="K62" s="939" t="s">
        <v>17</v>
      </c>
      <c r="L62" s="1098"/>
    </row>
    <row r="63" spans="1:12" s="876" customFormat="1" ht="26.4" x14ac:dyDescent="0.25">
      <c r="A63" s="1116"/>
      <c r="B63" s="1103"/>
      <c r="C63" s="886" t="s">
        <v>1747</v>
      </c>
      <c r="D63" s="894" t="s">
        <v>1501</v>
      </c>
      <c r="E63" s="894" t="s">
        <v>1501</v>
      </c>
      <c r="F63" s="894" t="s">
        <v>1748</v>
      </c>
      <c r="G63" s="894" t="s">
        <v>1501</v>
      </c>
      <c r="H63" s="894" t="s">
        <v>1501</v>
      </c>
      <c r="I63" s="894" t="s">
        <v>1501</v>
      </c>
      <c r="J63" s="894" t="s">
        <v>1501</v>
      </c>
      <c r="K63" s="894" t="s">
        <v>1501</v>
      </c>
      <c r="L63" s="1098"/>
    </row>
    <row r="64" spans="1:12" hidden="1" x14ac:dyDescent="0.25">
      <c r="A64" s="893"/>
      <c r="B64" s="894"/>
      <c r="C64" s="886"/>
      <c r="D64" s="939"/>
      <c r="E64" s="939"/>
      <c r="F64" s="939"/>
      <c r="G64" s="939"/>
      <c r="H64" s="939"/>
      <c r="I64" s="939"/>
      <c r="J64" s="939"/>
      <c r="K64" s="939"/>
      <c r="L64" s="927"/>
    </row>
    <row r="65" spans="1:12" x14ac:dyDescent="0.25">
      <c r="A65" s="1143" t="s">
        <v>1749</v>
      </c>
      <c r="B65" s="1108"/>
      <c r="C65" s="1108"/>
      <c r="D65" s="1108"/>
      <c r="E65" s="1108"/>
      <c r="F65" s="1108"/>
      <c r="G65" s="1108"/>
      <c r="H65" s="1108"/>
      <c r="I65" s="1108"/>
      <c r="J65" s="1108"/>
      <c r="K65" s="1108"/>
      <c r="L65" s="1109"/>
    </row>
    <row r="66" spans="1:12" ht="66" x14ac:dyDescent="0.25">
      <c r="A66" s="885" t="s">
        <v>1462</v>
      </c>
      <c r="B66" s="895" t="s">
        <v>1750</v>
      </c>
      <c r="C66" s="886" t="s">
        <v>1751</v>
      </c>
      <c r="D66" s="894" t="s">
        <v>1501</v>
      </c>
      <c r="E66" s="894" t="s">
        <v>1501</v>
      </c>
      <c r="F66" s="894" t="s">
        <v>15</v>
      </c>
      <c r="G66" s="894" t="s">
        <v>15</v>
      </c>
      <c r="H66" s="894" t="s">
        <v>15</v>
      </c>
      <c r="I66" s="894" t="s">
        <v>15</v>
      </c>
      <c r="J66" s="939" t="s">
        <v>16</v>
      </c>
      <c r="K66" s="939" t="s">
        <v>15</v>
      </c>
      <c r="L66" s="1098" t="s">
        <v>1518</v>
      </c>
    </row>
    <row r="67" spans="1:12" ht="52.8" x14ac:dyDescent="0.25">
      <c r="A67" s="885" t="s">
        <v>1752</v>
      </c>
      <c r="B67" s="895" t="s">
        <v>1753</v>
      </c>
      <c r="C67" s="886" t="s">
        <v>1754</v>
      </c>
      <c r="D67" s="894" t="s">
        <v>1501</v>
      </c>
      <c r="E67" s="894" t="s">
        <v>1501</v>
      </c>
      <c r="F67" s="894" t="s">
        <v>1501</v>
      </c>
      <c r="G67" s="894" t="s">
        <v>1501</v>
      </c>
      <c r="H67" s="894" t="s">
        <v>19</v>
      </c>
      <c r="I67" s="894" t="s">
        <v>1501</v>
      </c>
      <c r="J67" s="939" t="s">
        <v>19</v>
      </c>
      <c r="K67" s="939" t="s">
        <v>191</v>
      </c>
      <c r="L67" s="1098"/>
    </row>
    <row r="68" spans="1:12" ht="52.8" x14ac:dyDescent="0.25">
      <c r="A68" s="1116" t="s">
        <v>1718</v>
      </c>
      <c r="B68" s="1103" t="s">
        <v>1755</v>
      </c>
      <c r="C68" s="886" t="s">
        <v>1756</v>
      </c>
      <c r="D68" s="894" t="s">
        <v>1501</v>
      </c>
      <c r="E68" s="894" t="s">
        <v>1501</v>
      </c>
      <c r="F68" s="894" t="s">
        <v>1501</v>
      </c>
      <c r="G68" s="894" t="s">
        <v>1501</v>
      </c>
      <c r="H68" s="894" t="s">
        <v>19</v>
      </c>
      <c r="I68" s="894" t="s">
        <v>1501</v>
      </c>
      <c r="J68" s="939" t="s">
        <v>19</v>
      </c>
      <c r="K68" s="939" t="s">
        <v>15</v>
      </c>
      <c r="L68" s="1098"/>
    </row>
    <row r="69" spans="1:12" ht="52.8" x14ac:dyDescent="0.25">
      <c r="A69" s="1116"/>
      <c r="B69" s="1103"/>
      <c r="C69" s="886" t="s">
        <v>1757</v>
      </c>
      <c r="D69" s="894" t="s">
        <v>1501</v>
      </c>
      <c r="E69" s="894" t="s">
        <v>1501</v>
      </c>
      <c r="F69" s="894" t="s">
        <v>1501</v>
      </c>
      <c r="G69" s="894" t="s">
        <v>1501</v>
      </c>
      <c r="H69" s="894" t="s">
        <v>200</v>
      </c>
      <c r="I69" s="894" t="s">
        <v>1501</v>
      </c>
      <c r="J69" s="939" t="s">
        <v>200</v>
      </c>
      <c r="K69" s="939" t="s">
        <v>16</v>
      </c>
      <c r="L69" s="1098"/>
    </row>
    <row r="70" spans="1:12" x14ac:dyDescent="0.25">
      <c r="A70" s="1093" t="s">
        <v>1758</v>
      </c>
      <c r="B70" s="1094"/>
      <c r="C70" s="1094"/>
      <c r="D70" s="1094"/>
      <c r="E70" s="1094"/>
      <c r="F70" s="1094"/>
      <c r="G70" s="1094"/>
      <c r="H70" s="1094"/>
      <c r="I70" s="1094"/>
      <c r="J70" s="1094"/>
      <c r="K70" s="1094"/>
      <c r="L70" s="1095"/>
    </row>
    <row r="71" spans="1:12" x14ac:dyDescent="0.25">
      <c r="A71" s="1102" t="s">
        <v>1759</v>
      </c>
      <c r="B71" s="1103" t="s">
        <v>1760</v>
      </c>
      <c r="C71" s="886" t="s">
        <v>1761</v>
      </c>
      <c r="D71" s="939" t="s">
        <v>1501</v>
      </c>
      <c r="E71" s="939" t="s">
        <v>1501</v>
      </c>
      <c r="F71" s="939" t="s">
        <v>1501</v>
      </c>
      <c r="G71" s="939" t="s">
        <v>1501</v>
      </c>
      <c r="H71" s="894" t="s">
        <v>1762</v>
      </c>
      <c r="I71" s="939" t="s">
        <v>1501</v>
      </c>
      <c r="J71" s="939" t="s">
        <v>1501</v>
      </c>
      <c r="K71" s="939" t="s">
        <v>1501</v>
      </c>
      <c r="L71" s="1142" t="s">
        <v>1763</v>
      </c>
    </row>
    <row r="72" spans="1:12" ht="49.95" customHeight="1" x14ac:dyDescent="0.25">
      <c r="A72" s="1102"/>
      <c r="B72" s="1103"/>
      <c r="C72" s="886" t="s">
        <v>1764</v>
      </c>
      <c r="D72" s="939" t="s">
        <v>1501</v>
      </c>
      <c r="E72" s="939" t="s">
        <v>1501</v>
      </c>
      <c r="F72" s="939" t="s">
        <v>1501</v>
      </c>
      <c r="G72" s="939" t="s">
        <v>1501</v>
      </c>
      <c r="H72" s="894" t="s">
        <v>1501</v>
      </c>
      <c r="I72" s="939" t="s">
        <v>1501</v>
      </c>
      <c r="J72" s="939" t="s">
        <v>1652</v>
      </c>
      <c r="K72" s="939" t="s">
        <v>1501</v>
      </c>
      <c r="L72" s="1142"/>
    </row>
    <row r="73" spans="1:12" ht="66" x14ac:dyDescent="0.25">
      <c r="A73" s="893" t="s">
        <v>1765</v>
      </c>
      <c r="B73" s="886" t="s">
        <v>1766</v>
      </c>
      <c r="C73" s="886" t="s">
        <v>1764</v>
      </c>
      <c r="D73" s="939" t="s">
        <v>1501</v>
      </c>
      <c r="E73" s="939" t="s">
        <v>1501</v>
      </c>
      <c r="F73" s="939" t="s">
        <v>1501</v>
      </c>
      <c r="G73" s="939" t="s">
        <v>1501</v>
      </c>
      <c r="H73" s="894" t="s">
        <v>1501</v>
      </c>
      <c r="I73" s="939" t="s">
        <v>1501</v>
      </c>
      <c r="J73" s="939" t="s">
        <v>1652</v>
      </c>
      <c r="K73" s="939" t="s">
        <v>1501</v>
      </c>
      <c r="L73" s="931" t="s">
        <v>1767</v>
      </c>
    </row>
    <row r="74" spans="1:12" ht="66" x14ac:dyDescent="0.25">
      <c r="A74" s="893" t="s">
        <v>1768</v>
      </c>
      <c r="B74" s="886" t="s">
        <v>1769</v>
      </c>
      <c r="C74" s="886" t="s">
        <v>1764</v>
      </c>
      <c r="D74" s="939" t="s">
        <v>1501</v>
      </c>
      <c r="E74" s="939" t="s">
        <v>1501</v>
      </c>
      <c r="F74" s="939" t="s">
        <v>1501</v>
      </c>
      <c r="G74" s="939" t="s">
        <v>1501</v>
      </c>
      <c r="H74" s="894" t="s">
        <v>1501</v>
      </c>
      <c r="I74" s="939" t="s">
        <v>1501</v>
      </c>
      <c r="J74" s="939" t="s">
        <v>1652</v>
      </c>
      <c r="K74" s="939" t="s">
        <v>1501</v>
      </c>
      <c r="L74" s="927" t="s">
        <v>1770</v>
      </c>
    </row>
    <row r="75" spans="1:12" ht="52.8" x14ac:dyDescent="0.25">
      <c r="A75" s="893" t="s">
        <v>1771</v>
      </c>
      <c r="B75" s="886" t="s">
        <v>1772</v>
      </c>
      <c r="C75" s="886" t="s">
        <v>1764</v>
      </c>
      <c r="D75" s="939" t="s">
        <v>1501</v>
      </c>
      <c r="E75" s="939" t="s">
        <v>1501</v>
      </c>
      <c r="F75" s="939" t="s">
        <v>1501</v>
      </c>
      <c r="G75" s="939" t="s">
        <v>1501</v>
      </c>
      <c r="H75" s="894" t="s">
        <v>1501</v>
      </c>
      <c r="I75" s="939" t="s">
        <v>1501</v>
      </c>
      <c r="J75" s="939" t="s">
        <v>1773</v>
      </c>
      <c r="K75" s="939" t="s">
        <v>1501</v>
      </c>
      <c r="L75" s="953" t="s">
        <v>2440</v>
      </c>
    </row>
    <row r="76" spans="1:12" ht="26.4" x14ac:dyDescent="0.25">
      <c r="A76" s="1102" t="s">
        <v>1774</v>
      </c>
      <c r="B76" s="1103" t="s">
        <v>1775</v>
      </c>
      <c r="C76" s="954" t="s">
        <v>1776</v>
      </c>
      <c r="D76" s="939" t="s">
        <v>1501</v>
      </c>
      <c r="E76" s="939" t="s">
        <v>1501</v>
      </c>
      <c r="F76" s="939" t="s">
        <v>1501</v>
      </c>
      <c r="G76" s="939" t="s">
        <v>1501</v>
      </c>
      <c r="H76" s="894" t="s">
        <v>1777</v>
      </c>
      <c r="I76" s="939" t="s">
        <v>1501</v>
      </c>
      <c r="J76" s="939" t="s">
        <v>1501</v>
      </c>
      <c r="K76" s="939" t="s">
        <v>1501</v>
      </c>
      <c r="L76" s="1098" t="s">
        <v>1778</v>
      </c>
    </row>
    <row r="77" spans="1:12" ht="26.4" x14ac:dyDescent="0.25">
      <c r="A77" s="1102"/>
      <c r="B77" s="1103"/>
      <c r="C77" s="886" t="s">
        <v>1779</v>
      </c>
      <c r="D77" s="939" t="s">
        <v>1501</v>
      </c>
      <c r="E77" s="939" t="s">
        <v>1501</v>
      </c>
      <c r="F77" s="939" t="s">
        <v>1501</v>
      </c>
      <c r="G77" s="939" t="s">
        <v>1501</v>
      </c>
      <c r="H77" s="894" t="s">
        <v>1501</v>
      </c>
      <c r="I77" s="939" t="s">
        <v>1501</v>
      </c>
      <c r="J77" s="939" t="s">
        <v>1652</v>
      </c>
      <c r="K77" s="939" t="s">
        <v>1501</v>
      </c>
      <c r="L77" s="1098"/>
    </row>
    <row r="78" spans="1:12" ht="26.4" x14ac:dyDescent="0.25">
      <c r="A78" s="1102" t="s">
        <v>1780</v>
      </c>
      <c r="B78" s="1103" t="s">
        <v>1781</v>
      </c>
      <c r="C78" s="886" t="s">
        <v>1782</v>
      </c>
      <c r="D78" s="939" t="s">
        <v>1501</v>
      </c>
      <c r="E78" s="939" t="s">
        <v>1501</v>
      </c>
      <c r="F78" s="939" t="s">
        <v>1501</v>
      </c>
      <c r="G78" s="939" t="s">
        <v>1501</v>
      </c>
      <c r="H78" s="894" t="s">
        <v>1501</v>
      </c>
      <c r="I78" s="939" t="s">
        <v>1501</v>
      </c>
      <c r="J78" s="939" t="s">
        <v>1783</v>
      </c>
      <c r="K78" s="939" t="s">
        <v>1784</v>
      </c>
      <c r="L78" s="953" t="s">
        <v>1785</v>
      </c>
    </row>
    <row r="79" spans="1:12" ht="26.4" x14ac:dyDescent="0.25">
      <c r="A79" s="1102"/>
      <c r="B79" s="1103"/>
      <c r="C79" s="886" t="s">
        <v>1786</v>
      </c>
      <c r="D79" s="939" t="s">
        <v>1501</v>
      </c>
      <c r="E79" s="939" t="s">
        <v>1501</v>
      </c>
      <c r="F79" s="939" t="s">
        <v>1501</v>
      </c>
      <c r="G79" s="939" t="s">
        <v>1501</v>
      </c>
      <c r="H79" s="894" t="s">
        <v>1501</v>
      </c>
      <c r="I79" s="939" t="s">
        <v>1501</v>
      </c>
      <c r="J79" s="939" t="s">
        <v>1652</v>
      </c>
      <c r="K79" s="939" t="s">
        <v>1501</v>
      </c>
      <c r="L79" s="927" t="s">
        <v>1787</v>
      </c>
    </row>
    <row r="80" spans="1:12" x14ac:dyDescent="0.25">
      <c r="A80" s="1102" t="s">
        <v>1788</v>
      </c>
      <c r="B80" s="1103" t="s">
        <v>1789</v>
      </c>
      <c r="C80" s="954" t="s">
        <v>2441</v>
      </c>
      <c r="D80" s="939" t="s">
        <v>1501</v>
      </c>
      <c r="E80" s="939" t="s">
        <v>1501</v>
      </c>
      <c r="F80" s="939" t="s">
        <v>1501</v>
      </c>
      <c r="G80" s="939" t="s">
        <v>1501</v>
      </c>
      <c r="H80" s="894" t="s">
        <v>1777</v>
      </c>
      <c r="I80" s="939" t="s">
        <v>1501</v>
      </c>
      <c r="J80" s="939" t="s">
        <v>1501</v>
      </c>
      <c r="K80" s="939" t="s">
        <v>1501</v>
      </c>
      <c r="L80" s="1098" t="s">
        <v>1790</v>
      </c>
    </row>
    <row r="81" spans="1:12" ht="26.55" customHeight="1" x14ac:dyDescent="0.25">
      <c r="A81" s="1102"/>
      <c r="B81" s="1103"/>
      <c r="C81" s="954" t="s">
        <v>2442</v>
      </c>
      <c r="D81" s="939" t="s">
        <v>1501</v>
      </c>
      <c r="E81" s="939" t="s">
        <v>1501</v>
      </c>
      <c r="F81" s="939" t="s">
        <v>1501</v>
      </c>
      <c r="G81" s="939" t="s">
        <v>1501</v>
      </c>
      <c r="H81" s="894" t="s">
        <v>1501</v>
      </c>
      <c r="I81" s="939" t="s">
        <v>1501</v>
      </c>
      <c r="J81" s="939" t="s">
        <v>1652</v>
      </c>
      <c r="K81" s="939" t="s">
        <v>1501</v>
      </c>
      <c r="L81" s="1098"/>
    </row>
    <row r="82" spans="1:12" ht="46.5" customHeight="1" x14ac:dyDescent="0.25">
      <c r="A82" s="893" t="s">
        <v>1791</v>
      </c>
      <c r="B82" s="886" t="s">
        <v>1792</v>
      </c>
      <c r="C82" s="886" t="s">
        <v>1779</v>
      </c>
      <c r="D82" s="939" t="s">
        <v>1501</v>
      </c>
      <c r="E82" s="939" t="s">
        <v>1501</v>
      </c>
      <c r="F82" s="939" t="s">
        <v>1501</v>
      </c>
      <c r="G82" s="939" t="s">
        <v>1501</v>
      </c>
      <c r="H82" s="894" t="s">
        <v>1501</v>
      </c>
      <c r="I82" s="939" t="s">
        <v>1501</v>
      </c>
      <c r="J82" s="939" t="s">
        <v>1652</v>
      </c>
      <c r="K82" s="939" t="s">
        <v>1501</v>
      </c>
      <c r="L82" s="953" t="s">
        <v>1793</v>
      </c>
    </row>
    <row r="83" spans="1:12" ht="46.5" customHeight="1" x14ac:dyDescent="0.25">
      <c r="A83" s="893" t="s">
        <v>1794</v>
      </c>
      <c r="B83" s="886" t="s">
        <v>1795</v>
      </c>
      <c r="C83" s="886" t="s">
        <v>1796</v>
      </c>
      <c r="D83" s="939" t="s">
        <v>1501</v>
      </c>
      <c r="E83" s="939" t="s">
        <v>1501</v>
      </c>
      <c r="F83" s="939" t="s">
        <v>1501</v>
      </c>
      <c r="G83" s="939" t="s">
        <v>1501</v>
      </c>
      <c r="H83" s="894" t="s">
        <v>1501</v>
      </c>
      <c r="I83" s="939" t="s">
        <v>1501</v>
      </c>
      <c r="J83" s="939" t="s">
        <v>1652</v>
      </c>
      <c r="K83" s="939" t="s">
        <v>1501</v>
      </c>
      <c r="L83" s="927" t="s">
        <v>1797</v>
      </c>
    </row>
    <row r="84" spans="1:12" ht="39.6" x14ac:dyDescent="0.25">
      <c r="A84" s="1102" t="s">
        <v>1798</v>
      </c>
      <c r="B84" s="1103" t="s">
        <v>1799</v>
      </c>
      <c r="C84" s="886" t="s">
        <v>1800</v>
      </c>
      <c r="D84" s="939" t="s">
        <v>1501</v>
      </c>
      <c r="E84" s="939" t="s">
        <v>1501</v>
      </c>
      <c r="F84" s="939" t="s">
        <v>1501</v>
      </c>
      <c r="G84" s="939" t="s">
        <v>1501</v>
      </c>
      <c r="H84" s="894" t="s">
        <v>1801</v>
      </c>
      <c r="I84" s="939" t="s">
        <v>1501</v>
      </c>
      <c r="J84" s="939" t="s">
        <v>1501</v>
      </c>
      <c r="K84" s="939" t="s">
        <v>1501</v>
      </c>
      <c r="L84" s="1098" t="s">
        <v>1802</v>
      </c>
    </row>
    <row r="85" spans="1:12" ht="26.4" x14ac:dyDescent="0.25">
      <c r="A85" s="1102"/>
      <c r="B85" s="1103"/>
      <c r="C85" s="886" t="s">
        <v>1803</v>
      </c>
      <c r="D85" s="939" t="s">
        <v>1501</v>
      </c>
      <c r="E85" s="939" t="s">
        <v>1501</v>
      </c>
      <c r="F85" s="939" t="s">
        <v>1501</v>
      </c>
      <c r="G85" s="939" t="s">
        <v>1501</v>
      </c>
      <c r="H85" s="894" t="s">
        <v>1501</v>
      </c>
      <c r="I85" s="939" t="s">
        <v>1501</v>
      </c>
      <c r="J85" s="939" t="s">
        <v>1663</v>
      </c>
      <c r="K85" s="939" t="s">
        <v>1501</v>
      </c>
      <c r="L85" s="1098"/>
    </row>
    <row r="86" spans="1:12" ht="39.6" x14ac:dyDescent="0.25">
      <c r="A86" s="893" t="s">
        <v>1804</v>
      </c>
      <c r="B86" s="886" t="s">
        <v>1805</v>
      </c>
      <c r="C86" s="886" t="s">
        <v>1806</v>
      </c>
      <c r="D86" s="939" t="s">
        <v>1501</v>
      </c>
      <c r="E86" s="939" t="s">
        <v>1501</v>
      </c>
      <c r="F86" s="939" t="s">
        <v>1501</v>
      </c>
      <c r="G86" s="939" t="s">
        <v>1501</v>
      </c>
      <c r="H86" s="894" t="s">
        <v>1501</v>
      </c>
      <c r="I86" s="939" t="s">
        <v>1501</v>
      </c>
      <c r="J86" s="939" t="s">
        <v>1773</v>
      </c>
      <c r="K86" s="939" t="s">
        <v>1501</v>
      </c>
      <c r="L86" s="953" t="s">
        <v>1807</v>
      </c>
    </row>
    <row r="87" spans="1:12" x14ac:dyDescent="0.25">
      <c r="A87" s="1090" t="s">
        <v>1808</v>
      </c>
      <c r="B87" s="1091"/>
      <c r="C87" s="1091"/>
      <c r="D87" s="1091"/>
      <c r="E87" s="1091"/>
      <c r="F87" s="1091"/>
      <c r="G87" s="1091"/>
      <c r="H87" s="1091"/>
      <c r="I87" s="1091"/>
      <c r="J87" s="1091"/>
      <c r="K87" s="1091"/>
      <c r="L87" s="1092"/>
    </row>
    <row r="88" spans="1:12" x14ac:dyDescent="0.25">
      <c r="A88" s="1097" t="s">
        <v>1809</v>
      </c>
      <c r="B88" s="1094"/>
      <c r="C88" s="1094"/>
      <c r="D88" s="1094"/>
      <c r="E88" s="1094"/>
      <c r="F88" s="1094"/>
      <c r="G88" s="1094"/>
      <c r="H88" s="1094"/>
      <c r="I88" s="1094"/>
      <c r="J88" s="1094"/>
      <c r="K88" s="1094"/>
      <c r="L88" s="1095"/>
    </row>
    <row r="89" spans="1:12" ht="118.8" x14ac:dyDescent="0.25">
      <c r="A89" s="893" t="s">
        <v>1810</v>
      </c>
      <c r="B89" s="886" t="s">
        <v>1811</v>
      </c>
      <c r="C89" s="886" t="s">
        <v>1812</v>
      </c>
      <c r="D89" s="939" t="s">
        <v>1501</v>
      </c>
      <c r="E89" s="939" t="s">
        <v>1501</v>
      </c>
      <c r="F89" s="939" t="s">
        <v>1501</v>
      </c>
      <c r="G89" s="939" t="s">
        <v>1501</v>
      </c>
      <c r="H89" s="939" t="s">
        <v>1501</v>
      </c>
      <c r="I89" s="939" t="s">
        <v>1501</v>
      </c>
      <c r="J89" s="939" t="s">
        <v>194</v>
      </c>
      <c r="K89" s="939" t="s">
        <v>1501</v>
      </c>
      <c r="L89" s="1098" t="s">
        <v>1813</v>
      </c>
    </row>
    <row r="90" spans="1:12" ht="26.4" x14ac:dyDescent="0.25">
      <c r="A90" s="893" t="s">
        <v>1814</v>
      </c>
      <c r="B90" s="886" t="s">
        <v>1815</v>
      </c>
      <c r="C90" s="886" t="s">
        <v>1816</v>
      </c>
      <c r="D90" s="939" t="s">
        <v>1817</v>
      </c>
      <c r="E90" s="939" t="s">
        <v>1818</v>
      </c>
      <c r="F90" s="939" t="s">
        <v>1819</v>
      </c>
      <c r="G90" s="939" t="s">
        <v>1817</v>
      </c>
      <c r="H90" s="939" t="s">
        <v>1820</v>
      </c>
      <c r="I90" s="939" t="s">
        <v>1817</v>
      </c>
      <c r="J90" s="939" t="s">
        <v>1820</v>
      </c>
      <c r="K90" s="939" t="s">
        <v>1817</v>
      </c>
      <c r="L90" s="1098"/>
    </row>
    <row r="91" spans="1:12" x14ac:dyDescent="0.25">
      <c r="A91" s="1097" t="s">
        <v>1821</v>
      </c>
      <c r="B91" s="1094"/>
      <c r="C91" s="1094"/>
      <c r="D91" s="1094"/>
      <c r="E91" s="1094"/>
      <c r="F91" s="1094"/>
      <c r="G91" s="1094"/>
      <c r="H91" s="1094"/>
      <c r="I91" s="1094"/>
      <c r="J91" s="1094"/>
      <c r="K91" s="1094"/>
      <c r="L91" s="1095"/>
    </row>
    <row r="92" spans="1:12" ht="105.6" x14ac:dyDescent="0.25">
      <c r="A92" s="893" t="s">
        <v>1498</v>
      </c>
      <c r="B92" s="886" t="s">
        <v>1822</v>
      </c>
      <c r="C92" s="886" t="s">
        <v>1823</v>
      </c>
      <c r="D92" s="939" t="s">
        <v>1824</v>
      </c>
      <c r="E92" s="939" t="s">
        <v>1825</v>
      </c>
      <c r="F92" s="939" t="s">
        <v>1470</v>
      </c>
      <c r="G92" s="939" t="s">
        <v>1826</v>
      </c>
      <c r="H92" s="939" t="s">
        <v>1827</v>
      </c>
      <c r="I92" s="939" t="s">
        <v>1828</v>
      </c>
      <c r="J92" s="939" t="s">
        <v>1829</v>
      </c>
      <c r="K92" s="939" t="s">
        <v>1830</v>
      </c>
      <c r="L92" s="927" t="s">
        <v>1831</v>
      </c>
    </row>
    <row r="93" spans="1:12" ht="52.8" x14ac:dyDescent="0.25">
      <c r="A93" s="893" t="s">
        <v>1832</v>
      </c>
      <c r="B93" s="886" t="s">
        <v>1833</v>
      </c>
      <c r="C93" s="886" t="s">
        <v>1823</v>
      </c>
      <c r="D93" s="939" t="s">
        <v>1834</v>
      </c>
      <c r="E93" s="939" t="s">
        <v>1835</v>
      </c>
      <c r="F93" s="939" t="s">
        <v>1834</v>
      </c>
      <c r="G93" s="939" t="s">
        <v>1835</v>
      </c>
      <c r="H93" s="939" t="s">
        <v>1834</v>
      </c>
      <c r="I93" s="939" t="s">
        <v>1835</v>
      </c>
      <c r="J93" s="939" t="s">
        <v>1836</v>
      </c>
      <c r="K93" s="939" t="s">
        <v>1837</v>
      </c>
      <c r="L93" s="953" t="s">
        <v>1838</v>
      </c>
    </row>
    <row r="94" spans="1:12" ht="39.6" x14ac:dyDescent="0.25">
      <c r="A94" s="893" t="s">
        <v>1839</v>
      </c>
      <c r="B94" s="886" t="s">
        <v>1840</v>
      </c>
      <c r="C94" s="886" t="s">
        <v>1823</v>
      </c>
      <c r="D94" s="939" t="s">
        <v>1731</v>
      </c>
      <c r="E94" s="939" t="s">
        <v>1841</v>
      </c>
      <c r="F94" s="939" t="s">
        <v>1724</v>
      </c>
      <c r="G94" s="939" t="s">
        <v>1842</v>
      </c>
      <c r="H94" s="939" t="s">
        <v>1554</v>
      </c>
      <c r="I94" s="939" t="s">
        <v>1843</v>
      </c>
      <c r="J94" s="939" t="s">
        <v>1844</v>
      </c>
      <c r="K94" s="939" t="s">
        <v>1843</v>
      </c>
      <c r="L94" s="927" t="s">
        <v>1831</v>
      </c>
    </row>
    <row r="95" spans="1:12" ht="39.6" x14ac:dyDescent="0.25">
      <c r="A95" s="893" t="s">
        <v>1845</v>
      </c>
      <c r="B95" s="886" t="s">
        <v>963</v>
      </c>
      <c r="C95" s="886" t="s">
        <v>1823</v>
      </c>
      <c r="D95" s="939" t="s">
        <v>1467</v>
      </c>
      <c r="E95" s="939" t="s">
        <v>1846</v>
      </c>
      <c r="F95" s="939" t="s">
        <v>1847</v>
      </c>
      <c r="G95" s="939" t="s">
        <v>1848</v>
      </c>
      <c r="H95" s="939" t="s">
        <v>1554</v>
      </c>
      <c r="I95" s="939" t="s">
        <v>1849</v>
      </c>
      <c r="J95" s="939" t="s">
        <v>1850</v>
      </c>
      <c r="K95" s="939" t="s">
        <v>1851</v>
      </c>
      <c r="L95" s="1098" t="s">
        <v>1838</v>
      </c>
    </row>
    <row r="96" spans="1:12" ht="79.2" x14ac:dyDescent="0.25">
      <c r="A96" s="893" t="s">
        <v>1852</v>
      </c>
      <c r="B96" s="886" t="s">
        <v>1853</v>
      </c>
      <c r="C96" s="886" t="s">
        <v>1823</v>
      </c>
      <c r="D96" s="939" t="s">
        <v>1854</v>
      </c>
      <c r="E96" s="939" t="s">
        <v>1855</v>
      </c>
      <c r="F96" s="939" t="s">
        <v>1856</v>
      </c>
      <c r="G96" s="939" t="s">
        <v>1472</v>
      </c>
      <c r="H96" s="939" t="s">
        <v>1729</v>
      </c>
      <c r="I96" s="939" t="s">
        <v>1857</v>
      </c>
      <c r="J96" s="939" t="s">
        <v>1858</v>
      </c>
      <c r="K96" s="939" t="s">
        <v>1859</v>
      </c>
      <c r="L96" s="1098"/>
    </row>
    <row r="97" spans="1:12" ht="66" x14ac:dyDescent="0.25">
      <c r="A97" s="893" t="s">
        <v>1860</v>
      </c>
      <c r="B97" s="886" t="s">
        <v>1861</v>
      </c>
      <c r="C97" s="886" t="s">
        <v>1823</v>
      </c>
      <c r="D97" s="939" t="s">
        <v>1501</v>
      </c>
      <c r="E97" s="939" t="s">
        <v>1501</v>
      </c>
      <c r="F97" s="939" t="s">
        <v>1501</v>
      </c>
      <c r="G97" s="939" t="s">
        <v>1501</v>
      </c>
      <c r="H97" s="939" t="s">
        <v>1501</v>
      </c>
      <c r="I97" s="939" t="s">
        <v>1501</v>
      </c>
      <c r="J97" s="939" t="s">
        <v>15</v>
      </c>
      <c r="K97" s="939" t="s">
        <v>1501</v>
      </c>
      <c r="L97" s="1098"/>
    </row>
    <row r="98" spans="1:12" ht="52.8" x14ac:dyDescent="0.25">
      <c r="A98" s="893" t="s">
        <v>1862</v>
      </c>
      <c r="B98" s="954" t="s">
        <v>2443</v>
      </c>
      <c r="C98" s="886" t="s">
        <v>1823</v>
      </c>
      <c r="D98" s="939" t="s">
        <v>1501</v>
      </c>
      <c r="E98" s="939" t="s">
        <v>1501</v>
      </c>
      <c r="F98" s="939" t="s">
        <v>1863</v>
      </c>
      <c r="G98" s="939" t="s">
        <v>1864</v>
      </c>
      <c r="H98" s="939" t="s">
        <v>1865</v>
      </c>
      <c r="I98" s="939" t="s">
        <v>1866</v>
      </c>
      <c r="J98" s="939" t="s">
        <v>1867</v>
      </c>
      <c r="K98" s="939" t="s">
        <v>1868</v>
      </c>
      <c r="L98" s="927" t="s">
        <v>1869</v>
      </c>
    </row>
    <row r="99" spans="1:12" ht="15" customHeight="1" x14ac:dyDescent="0.25">
      <c r="A99" s="1141" t="s">
        <v>1870</v>
      </c>
      <c r="B99" s="1139"/>
      <c r="C99" s="1139"/>
      <c r="D99" s="1139"/>
      <c r="E99" s="1139"/>
      <c r="F99" s="1139"/>
      <c r="G99" s="1139"/>
      <c r="H99" s="1139"/>
      <c r="I99" s="1139"/>
      <c r="J99" s="1139"/>
      <c r="K99" s="1139"/>
      <c r="L99" s="1140"/>
    </row>
    <row r="100" spans="1:12" ht="39.6" x14ac:dyDescent="0.25">
      <c r="A100" s="893" t="s">
        <v>1619</v>
      </c>
      <c r="B100" s="886" t="s">
        <v>1871</v>
      </c>
      <c r="C100" s="886" t="s">
        <v>1872</v>
      </c>
      <c r="D100" s="939" t="s">
        <v>1873</v>
      </c>
      <c r="E100" s="939" t="s">
        <v>1874</v>
      </c>
      <c r="F100" s="939" t="s">
        <v>1875</v>
      </c>
      <c r="G100" s="939" t="s">
        <v>1874</v>
      </c>
      <c r="H100" s="939" t="s">
        <v>1876</v>
      </c>
      <c r="I100" s="939" t="s">
        <v>1874</v>
      </c>
      <c r="J100" s="939" t="s">
        <v>1877</v>
      </c>
      <c r="K100" s="939" t="s">
        <v>1874</v>
      </c>
      <c r="L100" s="1124" t="s">
        <v>2444</v>
      </c>
    </row>
    <row r="101" spans="1:12" ht="52.8" x14ac:dyDescent="0.25">
      <c r="A101" s="893" t="s">
        <v>1752</v>
      </c>
      <c r="B101" s="886" t="s">
        <v>1878</v>
      </c>
      <c r="C101" s="886" t="s">
        <v>1872</v>
      </c>
      <c r="D101" s="939" t="s">
        <v>1503</v>
      </c>
      <c r="E101" s="939" t="s">
        <v>1879</v>
      </c>
      <c r="F101" s="939" t="s">
        <v>1465</v>
      </c>
      <c r="G101" s="939" t="s">
        <v>1879</v>
      </c>
      <c r="H101" s="939" t="s">
        <v>1532</v>
      </c>
      <c r="I101" s="939" t="s">
        <v>1879</v>
      </c>
      <c r="J101" s="939" t="s">
        <v>1880</v>
      </c>
      <c r="K101" s="939" t="s">
        <v>1879</v>
      </c>
      <c r="L101" s="1098"/>
    </row>
    <row r="102" spans="1:12" ht="26.4" x14ac:dyDescent="0.25">
      <c r="A102" s="893" t="s">
        <v>1881</v>
      </c>
      <c r="B102" s="886" t="s">
        <v>1882</v>
      </c>
      <c r="C102" s="886" t="s">
        <v>1872</v>
      </c>
      <c r="D102" s="939" t="s">
        <v>1501</v>
      </c>
      <c r="E102" s="939" t="s">
        <v>1501</v>
      </c>
      <c r="F102" s="939" t="s">
        <v>1532</v>
      </c>
      <c r="G102" s="939" t="s">
        <v>1501</v>
      </c>
      <c r="H102" s="939" t="s">
        <v>1731</v>
      </c>
      <c r="I102" s="939" t="s">
        <v>1501</v>
      </c>
      <c r="J102" s="939" t="s">
        <v>1883</v>
      </c>
      <c r="K102" s="939" t="s">
        <v>1501</v>
      </c>
      <c r="L102" s="1098"/>
    </row>
    <row r="103" spans="1:12" ht="26.4" x14ac:dyDescent="0.25">
      <c r="A103" s="893" t="s">
        <v>1884</v>
      </c>
      <c r="B103" s="886" t="s">
        <v>1885</v>
      </c>
      <c r="C103" s="886" t="s">
        <v>1872</v>
      </c>
      <c r="D103" s="939" t="s">
        <v>1501</v>
      </c>
      <c r="E103" s="939" t="s">
        <v>1492</v>
      </c>
      <c r="F103" s="939" t="s">
        <v>1886</v>
      </c>
      <c r="G103" s="939" t="s">
        <v>1723</v>
      </c>
      <c r="H103" s="939" t="s">
        <v>1887</v>
      </c>
      <c r="I103" s="939" t="s">
        <v>1888</v>
      </c>
      <c r="J103" s="939" t="s">
        <v>1889</v>
      </c>
      <c r="K103" s="939" t="s">
        <v>1888</v>
      </c>
      <c r="L103" s="1098"/>
    </row>
    <row r="104" spans="1:12" ht="39.6" x14ac:dyDescent="0.25">
      <c r="A104" s="893" t="s">
        <v>1689</v>
      </c>
      <c r="B104" s="886" t="s">
        <v>1890</v>
      </c>
      <c r="C104" s="886" t="s">
        <v>1891</v>
      </c>
      <c r="D104" s="939" t="s">
        <v>1501</v>
      </c>
      <c r="E104" s="939" t="s">
        <v>1501</v>
      </c>
      <c r="F104" s="939" t="s">
        <v>1731</v>
      </c>
      <c r="G104" s="939" t="s">
        <v>1501</v>
      </c>
      <c r="H104" s="939" t="s">
        <v>1710</v>
      </c>
      <c r="I104" s="939" t="s">
        <v>16</v>
      </c>
      <c r="J104" s="939" t="s">
        <v>1892</v>
      </c>
      <c r="K104" s="939" t="s">
        <v>16</v>
      </c>
      <c r="L104" s="1098"/>
    </row>
    <row r="105" spans="1:12" ht="39.6" x14ac:dyDescent="0.25">
      <c r="A105" s="893" t="s">
        <v>1893</v>
      </c>
      <c r="B105" s="886" t="s">
        <v>1882</v>
      </c>
      <c r="C105" s="886" t="s">
        <v>1891</v>
      </c>
      <c r="D105" s="939" t="s">
        <v>1501</v>
      </c>
      <c r="E105" s="939" t="s">
        <v>1501</v>
      </c>
      <c r="F105" s="939" t="s">
        <v>1723</v>
      </c>
      <c r="G105" s="939" t="s">
        <v>1501</v>
      </c>
      <c r="H105" s="939" t="s">
        <v>1729</v>
      </c>
      <c r="I105" s="939" t="s">
        <v>1501</v>
      </c>
      <c r="J105" s="939" t="s">
        <v>1894</v>
      </c>
      <c r="K105" s="939" t="s">
        <v>1501</v>
      </c>
      <c r="L105" s="1098"/>
    </row>
    <row r="106" spans="1:12" ht="39.6" x14ac:dyDescent="0.25">
      <c r="A106" s="893" t="s">
        <v>1895</v>
      </c>
      <c r="B106" s="886" t="s">
        <v>1896</v>
      </c>
      <c r="C106" s="886" t="s">
        <v>1897</v>
      </c>
      <c r="D106" s="939" t="s">
        <v>1501</v>
      </c>
      <c r="E106" s="939" t="s">
        <v>1501</v>
      </c>
      <c r="F106" s="939" t="s">
        <v>1898</v>
      </c>
      <c r="G106" s="939" t="s">
        <v>1501</v>
      </c>
      <c r="H106" s="939" t="s">
        <v>1493</v>
      </c>
      <c r="I106" s="939" t="s">
        <v>1501</v>
      </c>
      <c r="J106" s="939" t="s">
        <v>1466</v>
      </c>
      <c r="K106" s="939" t="s">
        <v>1501</v>
      </c>
      <c r="L106" s="1098"/>
    </row>
    <row r="107" spans="1:12" ht="52.8" x14ac:dyDescent="0.25">
      <c r="A107" s="893" t="s">
        <v>1899</v>
      </c>
      <c r="B107" s="886" t="s">
        <v>1900</v>
      </c>
      <c r="C107" s="886" t="s">
        <v>1891</v>
      </c>
      <c r="D107" s="939" t="s">
        <v>1501</v>
      </c>
      <c r="E107" s="939" t="s">
        <v>1501</v>
      </c>
      <c r="F107" s="939" t="s">
        <v>1501</v>
      </c>
      <c r="G107" s="939" t="s">
        <v>1501</v>
      </c>
      <c r="H107" s="939" t="s">
        <v>433</v>
      </c>
      <c r="I107" s="939" t="s">
        <v>1501</v>
      </c>
      <c r="J107" s="939" t="s">
        <v>433</v>
      </c>
      <c r="K107" s="939" t="s">
        <v>1501</v>
      </c>
      <c r="L107" s="1098"/>
    </row>
    <row r="108" spans="1:12" ht="52.8" x14ac:dyDescent="0.25">
      <c r="A108" s="893" t="s">
        <v>1901</v>
      </c>
      <c r="B108" s="886" t="s">
        <v>1902</v>
      </c>
      <c r="C108" s="886" t="s">
        <v>1903</v>
      </c>
      <c r="D108" s="939" t="s">
        <v>1501</v>
      </c>
      <c r="E108" s="939" t="s">
        <v>1501</v>
      </c>
      <c r="F108" s="939" t="s">
        <v>1501</v>
      </c>
      <c r="G108" s="939" t="s">
        <v>1501</v>
      </c>
      <c r="H108" s="939" t="s">
        <v>1501</v>
      </c>
      <c r="I108" s="939" t="s">
        <v>1501</v>
      </c>
      <c r="J108" s="939" t="s">
        <v>18</v>
      </c>
      <c r="K108" s="939" t="s">
        <v>1501</v>
      </c>
      <c r="L108" s="1098"/>
    </row>
    <row r="109" spans="1:12" ht="39.6" x14ac:dyDescent="0.25">
      <c r="A109" s="893" t="s">
        <v>1449</v>
      </c>
      <c r="B109" s="886" t="s">
        <v>1904</v>
      </c>
      <c r="C109" s="886" t="s">
        <v>1905</v>
      </c>
      <c r="D109" s="939" t="s">
        <v>1501</v>
      </c>
      <c r="E109" s="939" t="s">
        <v>1501</v>
      </c>
      <c r="F109" s="939" t="s">
        <v>1501</v>
      </c>
      <c r="G109" s="939" t="s">
        <v>1501</v>
      </c>
      <c r="H109" s="939" t="s">
        <v>1501</v>
      </c>
      <c r="I109" s="939" t="s">
        <v>1501</v>
      </c>
      <c r="J109" s="939" t="s">
        <v>1906</v>
      </c>
      <c r="K109" s="939" t="s">
        <v>1501</v>
      </c>
      <c r="L109" s="1098"/>
    </row>
    <row r="110" spans="1:12" ht="39.6" x14ac:dyDescent="0.25">
      <c r="A110" s="893" t="s">
        <v>1907</v>
      </c>
      <c r="B110" s="886" t="s">
        <v>1908</v>
      </c>
      <c r="C110" s="886" t="s">
        <v>1909</v>
      </c>
      <c r="D110" s="939" t="s">
        <v>1501</v>
      </c>
      <c r="E110" s="939" t="s">
        <v>1501</v>
      </c>
      <c r="F110" s="939" t="s">
        <v>1910</v>
      </c>
      <c r="G110" s="939" t="s">
        <v>1501</v>
      </c>
      <c r="H110" s="939" t="s">
        <v>1911</v>
      </c>
      <c r="I110" s="939" t="s">
        <v>16</v>
      </c>
      <c r="J110" s="939" t="s">
        <v>1710</v>
      </c>
      <c r="K110" s="939" t="s">
        <v>16</v>
      </c>
      <c r="L110" s="1098"/>
    </row>
    <row r="111" spans="1:12" x14ac:dyDescent="0.25">
      <c r="A111" s="1138" t="s">
        <v>1912</v>
      </c>
      <c r="B111" s="1139"/>
      <c r="C111" s="1139"/>
      <c r="D111" s="1139"/>
      <c r="E111" s="1139"/>
      <c r="F111" s="1139"/>
      <c r="G111" s="1139"/>
      <c r="H111" s="1139"/>
      <c r="I111" s="1139"/>
      <c r="J111" s="1139"/>
      <c r="K111" s="1139"/>
      <c r="L111" s="1140"/>
    </row>
    <row r="112" spans="1:12" x14ac:dyDescent="0.25">
      <c r="A112" s="1116" t="s">
        <v>1462</v>
      </c>
      <c r="B112" s="1103" t="s">
        <v>1913</v>
      </c>
      <c r="C112" s="886" t="s">
        <v>1914</v>
      </c>
      <c r="D112" s="894" t="s">
        <v>15</v>
      </c>
      <c r="E112" s="894" t="s">
        <v>15</v>
      </c>
      <c r="F112" s="894" t="s">
        <v>15</v>
      </c>
      <c r="G112" s="894" t="s">
        <v>15</v>
      </c>
      <c r="H112" s="894" t="s">
        <v>15</v>
      </c>
      <c r="I112" s="894" t="s">
        <v>15</v>
      </c>
      <c r="J112" s="939" t="s">
        <v>16</v>
      </c>
      <c r="K112" s="939" t="s">
        <v>15</v>
      </c>
      <c r="L112" s="1098" t="s">
        <v>1518</v>
      </c>
    </row>
    <row r="113" spans="1:12" ht="39.450000000000003" customHeight="1" x14ac:dyDescent="0.25">
      <c r="A113" s="1116"/>
      <c r="B113" s="1103"/>
      <c r="C113" s="886" t="s">
        <v>1915</v>
      </c>
      <c r="D113" s="894" t="s">
        <v>1466</v>
      </c>
      <c r="E113" s="894" t="s">
        <v>1916</v>
      </c>
      <c r="F113" s="894" t="s">
        <v>1466</v>
      </c>
      <c r="G113" s="894" t="s">
        <v>1916</v>
      </c>
      <c r="H113" s="894" t="s">
        <v>1466</v>
      </c>
      <c r="I113" s="894" t="s">
        <v>1916</v>
      </c>
      <c r="J113" s="939" t="s">
        <v>1532</v>
      </c>
      <c r="K113" s="939" t="s">
        <v>1916</v>
      </c>
      <c r="L113" s="1098"/>
    </row>
    <row r="114" spans="1:12" ht="79.2" x14ac:dyDescent="0.25">
      <c r="A114" s="893" t="s">
        <v>1917</v>
      </c>
      <c r="B114" s="886" t="s">
        <v>1918</v>
      </c>
      <c r="C114" s="886" t="s">
        <v>1919</v>
      </c>
      <c r="D114" s="939" t="s">
        <v>1501</v>
      </c>
      <c r="E114" s="939" t="s">
        <v>1501</v>
      </c>
      <c r="F114" s="939" t="s">
        <v>1501</v>
      </c>
      <c r="G114" s="939" t="s">
        <v>1501</v>
      </c>
      <c r="H114" s="939" t="s">
        <v>1501</v>
      </c>
      <c r="I114" s="939" t="s">
        <v>1501</v>
      </c>
      <c r="J114" s="939" t="s">
        <v>20</v>
      </c>
      <c r="K114" s="939" t="s">
        <v>19</v>
      </c>
      <c r="L114" s="953" t="s">
        <v>1920</v>
      </c>
    </row>
    <row r="115" spans="1:12" ht="66" x14ac:dyDescent="0.25">
      <c r="A115" s="896" t="s">
        <v>1921</v>
      </c>
      <c r="B115" s="886" t="s">
        <v>1922</v>
      </c>
      <c r="C115" s="886" t="s">
        <v>1923</v>
      </c>
      <c r="D115" s="939" t="s">
        <v>1501</v>
      </c>
      <c r="E115" s="939" t="s">
        <v>1501</v>
      </c>
      <c r="F115" s="939" t="s">
        <v>15</v>
      </c>
      <c r="G115" s="939" t="s">
        <v>17</v>
      </c>
      <c r="H115" s="939" t="s">
        <v>189</v>
      </c>
      <c r="I115" s="939" t="s">
        <v>200</v>
      </c>
      <c r="J115" s="939" t="s">
        <v>192</v>
      </c>
      <c r="K115" s="939" t="s">
        <v>20</v>
      </c>
      <c r="L115" s="931" t="s">
        <v>1924</v>
      </c>
    </row>
    <row r="116" spans="1:12" ht="118.8" x14ac:dyDescent="0.25">
      <c r="A116" s="896" t="s">
        <v>1925</v>
      </c>
      <c r="B116" s="886" t="s">
        <v>1926</v>
      </c>
      <c r="C116" s="886" t="s">
        <v>1927</v>
      </c>
      <c r="D116" s="939" t="s">
        <v>15</v>
      </c>
      <c r="E116" s="939" t="s">
        <v>1501</v>
      </c>
      <c r="F116" s="939" t="s">
        <v>15</v>
      </c>
      <c r="G116" s="939" t="s">
        <v>1501</v>
      </c>
      <c r="H116" s="939" t="s">
        <v>15</v>
      </c>
      <c r="I116" s="939" t="s">
        <v>1501</v>
      </c>
      <c r="J116" s="939" t="s">
        <v>15</v>
      </c>
      <c r="K116" s="939" t="s">
        <v>1501</v>
      </c>
      <c r="L116" s="953" t="s">
        <v>1928</v>
      </c>
    </row>
    <row r="117" spans="1:12" ht="26.4" x14ac:dyDescent="0.25">
      <c r="A117" s="1102" t="s">
        <v>1929</v>
      </c>
      <c r="B117" s="1103" t="s">
        <v>1930</v>
      </c>
      <c r="C117" s="886" t="s">
        <v>1931</v>
      </c>
      <c r="D117" s="939" t="s">
        <v>1554</v>
      </c>
      <c r="E117" s="939" t="s">
        <v>1932</v>
      </c>
      <c r="F117" s="939" t="s">
        <v>1743</v>
      </c>
      <c r="G117" s="939" t="s">
        <v>1933</v>
      </c>
      <c r="H117" s="939" t="s">
        <v>1744</v>
      </c>
      <c r="I117" s="939" t="s">
        <v>1934</v>
      </c>
      <c r="J117" s="939" t="s">
        <v>1935</v>
      </c>
      <c r="K117" s="939" t="s">
        <v>1936</v>
      </c>
      <c r="L117" s="1098" t="s">
        <v>1937</v>
      </c>
    </row>
    <row r="118" spans="1:12" ht="27.75" customHeight="1" x14ac:dyDescent="0.25">
      <c r="A118" s="1102"/>
      <c r="B118" s="1103"/>
      <c r="C118" s="886" t="s">
        <v>1938</v>
      </c>
      <c r="D118" s="939" t="s">
        <v>1939</v>
      </c>
      <c r="E118" s="939" t="s">
        <v>1940</v>
      </c>
      <c r="F118" s="939" t="s">
        <v>1742</v>
      </c>
      <c r="G118" s="939" t="s">
        <v>1941</v>
      </c>
      <c r="H118" s="939" t="s">
        <v>1743</v>
      </c>
      <c r="I118" s="939" t="s">
        <v>1942</v>
      </c>
      <c r="J118" s="939" t="s">
        <v>1943</v>
      </c>
      <c r="K118" s="939" t="s">
        <v>1944</v>
      </c>
      <c r="L118" s="1098"/>
    </row>
    <row r="119" spans="1:12" x14ac:dyDescent="0.25">
      <c r="A119" s="1097" t="s">
        <v>1945</v>
      </c>
      <c r="B119" s="1094"/>
      <c r="C119" s="1094"/>
      <c r="D119" s="1094"/>
      <c r="E119" s="1094"/>
      <c r="F119" s="1094"/>
      <c r="G119" s="1094"/>
      <c r="H119" s="1094"/>
      <c r="I119" s="1094"/>
      <c r="J119" s="1094"/>
      <c r="K119" s="1094"/>
      <c r="L119" s="1095"/>
    </row>
    <row r="120" spans="1:12" ht="45.45" customHeight="1" x14ac:dyDescent="0.25">
      <c r="A120" s="1102" t="s">
        <v>1946</v>
      </c>
      <c r="B120" s="1103" t="s">
        <v>1947</v>
      </c>
      <c r="C120" s="886" t="s">
        <v>1948</v>
      </c>
      <c r="D120" s="939" t="s">
        <v>1949</v>
      </c>
      <c r="E120" s="939" t="s">
        <v>1493</v>
      </c>
      <c r="F120" s="939" t="s">
        <v>1950</v>
      </c>
      <c r="G120" s="939" t="s">
        <v>1951</v>
      </c>
      <c r="H120" s="939" t="s">
        <v>1722</v>
      </c>
      <c r="I120" s="939" t="s">
        <v>1951</v>
      </c>
      <c r="J120" s="939" t="s">
        <v>1722</v>
      </c>
      <c r="K120" s="939" t="s">
        <v>1856</v>
      </c>
      <c r="L120" s="1124" t="s">
        <v>1952</v>
      </c>
    </row>
    <row r="121" spans="1:12" ht="45.45" customHeight="1" x14ac:dyDescent="0.25">
      <c r="A121" s="1102"/>
      <c r="B121" s="1103"/>
      <c r="C121" s="886" t="s">
        <v>1953</v>
      </c>
      <c r="D121" s="939" t="s">
        <v>1954</v>
      </c>
      <c r="E121" s="939" t="s">
        <v>1955</v>
      </c>
      <c r="F121" s="939" t="s">
        <v>1743</v>
      </c>
      <c r="G121" s="939" t="s">
        <v>1956</v>
      </c>
      <c r="H121" s="939" t="s">
        <v>1710</v>
      </c>
      <c r="I121" s="939" t="s">
        <v>1956</v>
      </c>
      <c r="J121" s="939" t="s">
        <v>1710</v>
      </c>
      <c r="K121" s="939" t="s">
        <v>1957</v>
      </c>
      <c r="L121" s="1098"/>
    </row>
    <row r="122" spans="1:12" ht="79.2" x14ac:dyDescent="0.25">
      <c r="A122" s="897" t="s">
        <v>1958</v>
      </c>
      <c r="B122" s="886" t="s">
        <v>1959</v>
      </c>
      <c r="C122" s="886" t="s">
        <v>1960</v>
      </c>
      <c r="D122" s="939" t="s">
        <v>189</v>
      </c>
      <c r="E122" s="939" t="s">
        <v>191</v>
      </c>
      <c r="F122" s="939" t="s">
        <v>192</v>
      </c>
      <c r="G122" s="939" t="s">
        <v>20</v>
      </c>
      <c r="H122" s="939" t="s">
        <v>1961</v>
      </c>
      <c r="I122" s="939" t="s">
        <v>194</v>
      </c>
      <c r="J122" s="939" t="s">
        <v>1962</v>
      </c>
      <c r="K122" s="939" t="s">
        <v>206</v>
      </c>
      <c r="L122" s="1098" t="s">
        <v>1937</v>
      </c>
    </row>
    <row r="123" spans="1:12" ht="92.4" x14ac:dyDescent="0.25">
      <c r="A123" s="897" t="s">
        <v>1963</v>
      </c>
      <c r="B123" s="886" t="s">
        <v>1964</v>
      </c>
      <c r="C123" s="886" t="s">
        <v>1965</v>
      </c>
      <c r="D123" s="939" t="s">
        <v>15</v>
      </c>
      <c r="E123" s="939" t="s">
        <v>16</v>
      </c>
      <c r="F123" s="939" t="s">
        <v>16</v>
      </c>
      <c r="G123" s="939" t="s">
        <v>17</v>
      </c>
      <c r="H123" s="939" t="s">
        <v>17</v>
      </c>
      <c r="I123" s="939" t="s">
        <v>17</v>
      </c>
      <c r="J123" s="939" t="s">
        <v>189</v>
      </c>
      <c r="K123" s="939" t="s">
        <v>17</v>
      </c>
      <c r="L123" s="1098"/>
    </row>
    <row r="124" spans="1:12" ht="39.6" x14ac:dyDescent="0.25">
      <c r="A124" s="1102" t="s">
        <v>1966</v>
      </c>
      <c r="B124" s="1103" t="s">
        <v>1967</v>
      </c>
      <c r="C124" s="886" t="s">
        <v>1968</v>
      </c>
      <c r="D124" s="939" t="s">
        <v>1950</v>
      </c>
      <c r="E124" s="939" t="s">
        <v>1969</v>
      </c>
      <c r="F124" s="939" t="s">
        <v>1731</v>
      </c>
      <c r="G124" s="939" t="s">
        <v>1970</v>
      </c>
      <c r="H124" s="939" t="s">
        <v>1954</v>
      </c>
      <c r="I124" s="939" t="s">
        <v>1970</v>
      </c>
      <c r="J124" s="939" t="s">
        <v>1971</v>
      </c>
      <c r="K124" s="939" t="s">
        <v>1972</v>
      </c>
      <c r="L124" s="1098" t="s">
        <v>1952</v>
      </c>
    </row>
    <row r="125" spans="1:12" ht="52.8" x14ac:dyDescent="0.25">
      <c r="A125" s="1102"/>
      <c r="B125" s="1103"/>
      <c r="C125" s="886" t="s">
        <v>1973</v>
      </c>
      <c r="D125" s="939" t="s">
        <v>1974</v>
      </c>
      <c r="E125" s="939" t="s">
        <v>1975</v>
      </c>
      <c r="F125" s="939" t="s">
        <v>1976</v>
      </c>
      <c r="G125" s="939" t="s">
        <v>1977</v>
      </c>
      <c r="H125" s="939" t="s">
        <v>1978</v>
      </c>
      <c r="I125" s="939" t="s">
        <v>1977</v>
      </c>
      <c r="J125" s="939" t="s">
        <v>1978</v>
      </c>
      <c r="K125" s="939" t="s">
        <v>1979</v>
      </c>
      <c r="L125" s="1098"/>
    </row>
    <row r="126" spans="1:12" ht="132" x14ac:dyDescent="0.25">
      <c r="A126" s="896" t="s">
        <v>1980</v>
      </c>
      <c r="B126" s="895" t="s">
        <v>1981</v>
      </c>
      <c r="C126" s="886" t="s">
        <v>1982</v>
      </c>
      <c r="D126" s="939" t="s">
        <v>1950</v>
      </c>
      <c r="E126" s="939" t="s">
        <v>1983</v>
      </c>
      <c r="F126" s="939" t="s">
        <v>1731</v>
      </c>
      <c r="G126" s="939" t="s">
        <v>1983</v>
      </c>
      <c r="H126" s="939" t="s">
        <v>1954</v>
      </c>
      <c r="I126" s="939" t="s">
        <v>1984</v>
      </c>
      <c r="J126" s="939" t="s">
        <v>1954</v>
      </c>
      <c r="K126" s="939" t="s">
        <v>1985</v>
      </c>
      <c r="L126" s="1098"/>
    </row>
    <row r="127" spans="1:12" ht="145.19999999999999" x14ac:dyDescent="0.25">
      <c r="A127" s="893" t="s">
        <v>1986</v>
      </c>
      <c r="B127" s="886" t="s">
        <v>1987</v>
      </c>
      <c r="C127" s="886" t="s">
        <v>1988</v>
      </c>
      <c r="D127" s="939" t="s">
        <v>1501</v>
      </c>
      <c r="E127" s="939" t="s">
        <v>1501</v>
      </c>
      <c r="F127" s="939" t="s">
        <v>1501</v>
      </c>
      <c r="G127" s="939" t="s">
        <v>1501</v>
      </c>
      <c r="H127" s="939" t="s">
        <v>1466</v>
      </c>
      <c r="I127" s="939" t="s">
        <v>450</v>
      </c>
      <c r="J127" s="939" t="s">
        <v>1532</v>
      </c>
      <c r="K127" s="939" t="s">
        <v>450</v>
      </c>
      <c r="L127" s="1098"/>
    </row>
    <row r="128" spans="1:12" x14ac:dyDescent="0.25">
      <c r="A128" s="1093" t="s">
        <v>1989</v>
      </c>
      <c r="B128" s="1094"/>
      <c r="C128" s="1094"/>
      <c r="D128" s="1094"/>
      <c r="E128" s="1094"/>
      <c r="F128" s="1094"/>
      <c r="G128" s="1094"/>
      <c r="H128" s="1094"/>
      <c r="I128" s="1094"/>
      <c r="J128" s="1094"/>
      <c r="K128" s="1094"/>
      <c r="L128" s="1095"/>
    </row>
    <row r="129" spans="1:12" ht="79.5" customHeight="1" x14ac:dyDescent="0.25">
      <c r="A129" s="1136" t="s">
        <v>1504</v>
      </c>
      <c r="B129" s="1137" t="s">
        <v>1990</v>
      </c>
      <c r="C129" s="923" t="s">
        <v>1991</v>
      </c>
      <c r="D129" s="940" t="s">
        <v>1731</v>
      </c>
      <c r="E129" s="940" t="s">
        <v>1731</v>
      </c>
      <c r="F129" s="940" t="s">
        <v>1850</v>
      </c>
      <c r="G129" s="940" t="s">
        <v>1850</v>
      </c>
      <c r="H129" s="939" t="s">
        <v>1710</v>
      </c>
      <c r="I129" s="939" t="s">
        <v>1850</v>
      </c>
      <c r="J129" s="939" t="s">
        <v>1992</v>
      </c>
      <c r="K129" s="939" t="s">
        <v>1993</v>
      </c>
      <c r="L129" s="1098" t="s">
        <v>1518</v>
      </c>
    </row>
    <row r="130" spans="1:12" ht="45.75" customHeight="1" x14ac:dyDescent="0.25">
      <c r="A130" s="1136"/>
      <c r="B130" s="1137"/>
      <c r="C130" s="923" t="s">
        <v>1994</v>
      </c>
      <c r="D130" s="940" t="s">
        <v>17</v>
      </c>
      <c r="E130" s="940" t="s">
        <v>17</v>
      </c>
      <c r="F130" s="940" t="s">
        <v>20</v>
      </c>
      <c r="G130" s="940" t="s">
        <v>189</v>
      </c>
      <c r="H130" s="939" t="s">
        <v>193</v>
      </c>
      <c r="I130" s="939" t="s">
        <v>200</v>
      </c>
      <c r="J130" s="939" t="s">
        <v>1995</v>
      </c>
      <c r="K130" s="939" t="s">
        <v>201</v>
      </c>
      <c r="L130" s="1098"/>
    </row>
    <row r="131" spans="1:12" ht="45.75" customHeight="1" x14ac:dyDescent="0.25">
      <c r="A131" s="1136"/>
      <c r="B131" s="1137"/>
      <c r="C131" s="923" t="s">
        <v>1996</v>
      </c>
      <c r="D131" s="940" t="s">
        <v>1501</v>
      </c>
      <c r="E131" s="940" t="s">
        <v>1501</v>
      </c>
      <c r="F131" s="940" t="s">
        <v>1501</v>
      </c>
      <c r="G131" s="940" t="s">
        <v>1501</v>
      </c>
      <c r="H131" s="939" t="s">
        <v>1501</v>
      </c>
      <c r="I131" s="939" t="s">
        <v>1501</v>
      </c>
      <c r="J131" s="939" t="s">
        <v>1652</v>
      </c>
      <c r="K131" s="939" t="s">
        <v>1501</v>
      </c>
      <c r="L131" s="1098"/>
    </row>
    <row r="132" spans="1:12" ht="52.8" x14ac:dyDescent="0.25">
      <c r="A132" s="898" t="s">
        <v>1997</v>
      </c>
      <c r="B132" s="899" t="s">
        <v>1998</v>
      </c>
      <c r="C132" s="923" t="s">
        <v>1999</v>
      </c>
      <c r="D132" s="940" t="s">
        <v>1501</v>
      </c>
      <c r="E132" s="940" t="s">
        <v>1501</v>
      </c>
      <c r="F132" s="940" t="s">
        <v>1501</v>
      </c>
      <c r="G132" s="940" t="s">
        <v>1501</v>
      </c>
      <c r="H132" s="939" t="s">
        <v>1501</v>
      </c>
      <c r="I132" s="939" t="s">
        <v>1501</v>
      </c>
      <c r="J132" s="939" t="s">
        <v>1744</v>
      </c>
      <c r="K132" s="939" t="s">
        <v>1501</v>
      </c>
      <c r="L132" s="927" t="s">
        <v>2000</v>
      </c>
    </row>
    <row r="133" spans="1:12" ht="15" customHeight="1" x14ac:dyDescent="0.25">
      <c r="A133" s="1093" t="s">
        <v>2001</v>
      </c>
      <c r="B133" s="1094"/>
      <c r="C133" s="1094"/>
      <c r="D133" s="1094"/>
      <c r="E133" s="1094"/>
      <c r="F133" s="1094"/>
      <c r="G133" s="1094"/>
      <c r="H133" s="1094"/>
      <c r="I133" s="1094"/>
      <c r="J133" s="1094"/>
      <c r="K133" s="1094"/>
      <c r="L133" s="1095"/>
    </row>
    <row r="134" spans="1:12" ht="66" x14ac:dyDescent="0.25">
      <c r="A134" s="900" t="s">
        <v>2002</v>
      </c>
      <c r="B134" s="899" t="s">
        <v>2003</v>
      </c>
      <c r="C134" s="923" t="s">
        <v>2004</v>
      </c>
      <c r="D134" s="940" t="s">
        <v>1501</v>
      </c>
      <c r="E134" s="940" t="s">
        <v>1501</v>
      </c>
      <c r="F134" s="940" t="s">
        <v>1501</v>
      </c>
      <c r="G134" s="940" t="s">
        <v>1501</v>
      </c>
      <c r="H134" s="939" t="s">
        <v>1501</v>
      </c>
      <c r="I134" s="939" t="s">
        <v>1501</v>
      </c>
      <c r="J134" s="939" t="s">
        <v>16</v>
      </c>
      <c r="K134" s="939" t="s">
        <v>15</v>
      </c>
      <c r="L134" s="927" t="s">
        <v>1518</v>
      </c>
    </row>
    <row r="135" spans="1:12" ht="15" customHeight="1" x14ac:dyDescent="0.25">
      <c r="A135" s="1093" t="s">
        <v>2005</v>
      </c>
      <c r="B135" s="1094"/>
      <c r="C135" s="1094"/>
      <c r="D135" s="1094"/>
      <c r="E135" s="1094"/>
      <c r="F135" s="1094"/>
      <c r="G135" s="1094"/>
      <c r="H135" s="1094"/>
      <c r="I135" s="1094"/>
      <c r="J135" s="1094"/>
      <c r="K135" s="1094"/>
      <c r="L135" s="1095"/>
    </row>
    <row r="136" spans="1:12" ht="68.25" customHeight="1" x14ac:dyDescent="0.25">
      <c r="A136" s="893" t="s">
        <v>2006</v>
      </c>
      <c r="B136" s="886" t="s">
        <v>2007</v>
      </c>
      <c r="C136" s="886" t="s">
        <v>2008</v>
      </c>
      <c r="D136" s="939" t="s">
        <v>15</v>
      </c>
      <c r="E136" s="939" t="s">
        <v>15</v>
      </c>
      <c r="F136" s="939" t="s">
        <v>15</v>
      </c>
      <c r="G136" s="939" t="s">
        <v>15</v>
      </c>
      <c r="H136" s="939" t="s">
        <v>16</v>
      </c>
      <c r="I136" s="939" t="s">
        <v>15</v>
      </c>
      <c r="J136" s="939"/>
      <c r="K136" s="939"/>
      <c r="L136" s="927" t="s">
        <v>1518</v>
      </c>
    </row>
    <row r="137" spans="1:12" s="877" customFormat="1" ht="13.5" customHeight="1" x14ac:dyDescent="0.25">
      <c r="A137" s="1128" t="s">
        <v>2009</v>
      </c>
      <c r="B137" s="1129"/>
      <c r="C137" s="1129"/>
      <c r="D137" s="1129"/>
      <c r="E137" s="1129"/>
      <c r="F137" s="1129"/>
      <c r="G137" s="1129"/>
      <c r="H137" s="1129"/>
      <c r="I137" s="1129"/>
      <c r="J137" s="1129"/>
      <c r="K137" s="1129"/>
      <c r="L137" s="1130"/>
    </row>
    <row r="138" spans="1:12" s="877" customFormat="1" ht="52.8" x14ac:dyDescent="0.25">
      <c r="A138" s="901" t="s">
        <v>2010</v>
      </c>
      <c r="B138" s="902" t="s">
        <v>2011</v>
      </c>
      <c r="C138" s="902" t="s">
        <v>2012</v>
      </c>
      <c r="D138" s="941" t="s">
        <v>1501</v>
      </c>
      <c r="E138" s="941" t="s">
        <v>1501</v>
      </c>
      <c r="F138" s="942" t="s">
        <v>1501</v>
      </c>
      <c r="G138" s="942" t="s">
        <v>1501</v>
      </c>
      <c r="H138" s="942" t="s">
        <v>1501</v>
      </c>
      <c r="I138" s="942" t="s">
        <v>1501</v>
      </c>
      <c r="J138" s="943" t="s">
        <v>2013</v>
      </c>
      <c r="K138" s="943" t="s">
        <v>1501</v>
      </c>
      <c r="L138" s="961" t="s">
        <v>2463</v>
      </c>
    </row>
    <row r="139" spans="1:12" ht="39.6" x14ac:dyDescent="0.25">
      <c r="A139" s="1102" t="s">
        <v>1739</v>
      </c>
      <c r="B139" s="1103" t="s">
        <v>2014</v>
      </c>
      <c r="C139" s="886" t="s">
        <v>2015</v>
      </c>
      <c r="D139" s="939" t="s">
        <v>1501</v>
      </c>
      <c r="E139" s="939" t="s">
        <v>1501</v>
      </c>
      <c r="F139" s="939" t="s">
        <v>1501</v>
      </c>
      <c r="G139" s="939" t="s">
        <v>1501</v>
      </c>
      <c r="H139" s="939" t="s">
        <v>1501</v>
      </c>
      <c r="I139" s="939" t="s">
        <v>1501</v>
      </c>
      <c r="J139" s="939" t="s">
        <v>2016</v>
      </c>
      <c r="K139" s="939" t="s">
        <v>2017</v>
      </c>
      <c r="L139" s="1098" t="s">
        <v>1518</v>
      </c>
    </row>
    <row r="140" spans="1:12" ht="39.6" x14ac:dyDescent="0.25">
      <c r="A140" s="1131"/>
      <c r="B140" s="1132"/>
      <c r="C140" s="886" t="s">
        <v>2018</v>
      </c>
      <c r="D140" s="939" t="s">
        <v>1501</v>
      </c>
      <c r="E140" s="939" t="s">
        <v>1501</v>
      </c>
      <c r="F140" s="939" t="s">
        <v>1501</v>
      </c>
      <c r="G140" s="939" t="s">
        <v>1501</v>
      </c>
      <c r="H140" s="939" t="s">
        <v>1501</v>
      </c>
      <c r="I140" s="939" t="s">
        <v>1501</v>
      </c>
      <c r="J140" s="939" t="s">
        <v>2019</v>
      </c>
      <c r="K140" s="939" t="s">
        <v>2020</v>
      </c>
      <c r="L140" s="1133"/>
    </row>
    <row r="141" spans="1:12" ht="93" customHeight="1" x14ac:dyDescent="0.25">
      <c r="A141" s="903" t="s">
        <v>2021</v>
      </c>
      <c r="B141" s="899" t="s">
        <v>2022</v>
      </c>
      <c r="C141" s="886" t="s">
        <v>2023</v>
      </c>
      <c r="D141" s="939" t="s">
        <v>1501</v>
      </c>
      <c r="E141" s="939" t="s">
        <v>1501</v>
      </c>
      <c r="F141" s="939" t="s">
        <v>1501</v>
      </c>
      <c r="G141" s="939" t="s">
        <v>1501</v>
      </c>
      <c r="H141" s="939" t="s">
        <v>1501</v>
      </c>
      <c r="I141" s="939" t="s">
        <v>1501</v>
      </c>
      <c r="J141" s="939" t="s">
        <v>1916</v>
      </c>
      <c r="K141" s="939" t="s">
        <v>2024</v>
      </c>
      <c r="L141" s="1104"/>
    </row>
    <row r="142" spans="1:12" ht="93" customHeight="1" x14ac:dyDescent="0.25">
      <c r="A142" s="1134" t="s">
        <v>2025</v>
      </c>
      <c r="B142" s="1135" t="s">
        <v>2026</v>
      </c>
      <c r="C142" s="886" t="s">
        <v>2027</v>
      </c>
      <c r="D142" s="939" t="s">
        <v>1501</v>
      </c>
      <c r="E142" s="939" t="s">
        <v>1501</v>
      </c>
      <c r="F142" s="939" t="s">
        <v>1501</v>
      </c>
      <c r="G142" s="939" t="s">
        <v>1501</v>
      </c>
      <c r="H142" s="939" t="s">
        <v>1501</v>
      </c>
      <c r="I142" s="939" t="s">
        <v>1501</v>
      </c>
      <c r="J142" s="939" t="s">
        <v>2028</v>
      </c>
      <c r="K142" s="939" t="s">
        <v>1501</v>
      </c>
      <c r="L142" s="932" t="s">
        <v>2029</v>
      </c>
    </row>
    <row r="143" spans="1:12" s="877" customFormat="1" ht="52.8" x14ac:dyDescent="0.25">
      <c r="A143" s="1131"/>
      <c r="B143" s="1132"/>
      <c r="C143" s="962" t="s">
        <v>2464</v>
      </c>
      <c r="D143" s="941" t="s">
        <v>1501</v>
      </c>
      <c r="E143" s="941" t="s">
        <v>1501</v>
      </c>
      <c r="F143" s="942" t="s">
        <v>1501</v>
      </c>
      <c r="G143" s="942" t="s">
        <v>1501</v>
      </c>
      <c r="H143" s="942" t="s">
        <v>1501</v>
      </c>
      <c r="I143" s="942" t="s">
        <v>1501</v>
      </c>
      <c r="J143" s="943" t="s">
        <v>1784</v>
      </c>
      <c r="K143" s="943" t="s">
        <v>1501</v>
      </c>
      <c r="L143" s="931" t="s">
        <v>2030</v>
      </c>
    </row>
    <row r="144" spans="1:12" x14ac:dyDescent="0.25">
      <c r="A144" s="1090" t="s">
        <v>2031</v>
      </c>
      <c r="B144" s="1091"/>
      <c r="C144" s="1091"/>
      <c r="D144" s="1091"/>
      <c r="E144" s="1091"/>
      <c r="F144" s="1091"/>
      <c r="G144" s="1091"/>
      <c r="H144" s="1091"/>
      <c r="I144" s="1091"/>
      <c r="J144" s="1091"/>
      <c r="K144" s="1091"/>
      <c r="L144" s="1092"/>
    </row>
    <row r="145" spans="1:12" x14ac:dyDescent="0.25">
      <c r="A145" s="1125" t="s">
        <v>2032</v>
      </c>
      <c r="B145" s="1126"/>
      <c r="C145" s="1126"/>
      <c r="D145" s="1126"/>
      <c r="E145" s="1126"/>
      <c r="F145" s="1126"/>
      <c r="G145" s="1126"/>
      <c r="H145" s="1126"/>
      <c r="I145" s="1126"/>
      <c r="J145" s="1126"/>
      <c r="K145" s="1126"/>
      <c r="L145" s="1127"/>
    </row>
    <row r="146" spans="1:12" ht="66" x14ac:dyDescent="0.25">
      <c r="A146" s="893" t="s">
        <v>1462</v>
      </c>
      <c r="B146" s="886" t="s">
        <v>2033</v>
      </c>
      <c r="C146" s="886" t="s">
        <v>2034</v>
      </c>
      <c r="D146" s="939" t="s">
        <v>1501</v>
      </c>
      <c r="E146" s="939" t="s">
        <v>1501</v>
      </c>
      <c r="F146" s="939" t="s">
        <v>1501</v>
      </c>
      <c r="G146" s="939" t="s">
        <v>1501</v>
      </c>
      <c r="H146" s="939" t="s">
        <v>1501</v>
      </c>
      <c r="I146" s="939" t="s">
        <v>1501</v>
      </c>
      <c r="J146" s="939" t="s">
        <v>1380</v>
      </c>
      <c r="K146" s="939" t="s">
        <v>2035</v>
      </c>
      <c r="L146" s="953" t="s">
        <v>2036</v>
      </c>
    </row>
    <row r="147" spans="1:12" x14ac:dyDescent="0.25">
      <c r="A147" s="1102" t="s">
        <v>2037</v>
      </c>
      <c r="B147" s="1103" t="s">
        <v>2038</v>
      </c>
      <c r="C147" s="886" t="s">
        <v>2039</v>
      </c>
      <c r="D147" s="939" t="s">
        <v>1501</v>
      </c>
      <c r="E147" s="939" t="s">
        <v>1501</v>
      </c>
      <c r="F147" s="939" t="s">
        <v>1529</v>
      </c>
      <c r="G147" s="939" t="s">
        <v>1975</v>
      </c>
      <c r="H147" s="939" t="s">
        <v>1466</v>
      </c>
      <c r="I147" s="939" t="s">
        <v>1975</v>
      </c>
      <c r="J147" s="939" t="s">
        <v>1729</v>
      </c>
      <c r="K147" s="939" t="s">
        <v>1975</v>
      </c>
      <c r="L147" s="1098" t="s">
        <v>2040</v>
      </c>
    </row>
    <row r="148" spans="1:12" x14ac:dyDescent="0.25">
      <c r="A148" s="1102"/>
      <c r="B148" s="1103"/>
      <c r="C148" s="886" t="s">
        <v>2041</v>
      </c>
      <c r="D148" s="939" t="s">
        <v>1501</v>
      </c>
      <c r="E148" s="939" t="s">
        <v>1501</v>
      </c>
      <c r="F148" s="939" t="s">
        <v>203</v>
      </c>
      <c r="G148" s="939" t="s">
        <v>1962</v>
      </c>
      <c r="H148" s="939" t="s">
        <v>1961</v>
      </c>
      <c r="I148" s="939" t="s">
        <v>1962</v>
      </c>
      <c r="J148" s="939" t="s">
        <v>2042</v>
      </c>
      <c r="K148" s="939" t="s">
        <v>1962</v>
      </c>
      <c r="L148" s="1098"/>
    </row>
    <row r="149" spans="1:12" x14ac:dyDescent="0.25">
      <c r="A149" s="1102"/>
      <c r="B149" s="1103"/>
      <c r="C149" s="886" t="s">
        <v>2043</v>
      </c>
      <c r="D149" s="939" t="s">
        <v>1501</v>
      </c>
      <c r="E149" s="939" t="s">
        <v>1501</v>
      </c>
      <c r="F149" s="939" t="s">
        <v>2044</v>
      </c>
      <c r="G149" s="939" t="s">
        <v>1501</v>
      </c>
      <c r="H149" s="939" t="s">
        <v>2044</v>
      </c>
      <c r="I149" s="939" t="s">
        <v>1501</v>
      </c>
      <c r="J149" s="939" t="s">
        <v>2044</v>
      </c>
      <c r="K149" s="939" t="s">
        <v>1501</v>
      </c>
      <c r="L149" s="1098"/>
    </row>
    <row r="150" spans="1:12" ht="66" x14ac:dyDescent="0.25">
      <c r="A150" s="893" t="s">
        <v>2045</v>
      </c>
      <c r="B150" s="886" t="s">
        <v>2046</v>
      </c>
      <c r="C150" s="886" t="s">
        <v>2047</v>
      </c>
      <c r="D150" s="939" t="s">
        <v>193</v>
      </c>
      <c r="E150" s="939" t="s">
        <v>193</v>
      </c>
      <c r="F150" s="939" t="s">
        <v>193</v>
      </c>
      <c r="G150" s="939" t="s">
        <v>193</v>
      </c>
      <c r="H150" s="939" t="s">
        <v>193</v>
      </c>
      <c r="I150" s="939" t="s">
        <v>193</v>
      </c>
      <c r="J150" s="939" t="s">
        <v>203</v>
      </c>
      <c r="K150" s="939" t="s">
        <v>201</v>
      </c>
      <c r="L150" s="927" t="s">
        <v>2048</v>
      </c>
    </row>
    <row r="151" spans="1:12" ht="66" x14ac:dyDescent="0.25">
      <c r="A151" s="893" t="s">
        <v>2049</v>
      </c>
      <c r="B151" s="886" t="s">
        <v>2050</v>
      </c>
      <c r="C151" s="886" t="s">
        <v>2051</v>
      </c>
      <c r="D151" s="939" t="s">
        <v>1501</v>
      </c>
      <c r="E151" s="939" t="s">
        <v>1501</v>
      </c>
      <c r="F151" s="939" t="s">
        <v>1501</v>
      </c>
      <c r="G151" s="939" t="s">
        <v>1501</v>
      </c>
      <c r="H151" s="939" t="s">
        <v>1501</v>
      </c>
      <c r="I151" s="939" t="s">
        <v>1501</v>
      </c>
      <c r="J151" s="939" t="s">
        <v>15</v>
      </c>
      <c r="K151" s="939" t="s">
        <v>2052</v>
      </c>
      <c r="L151" s="927" t="s">
        <v>2053</v>
      </c>
    </row>
    <row r="152" spans="1:12" ht="42" customHeight="1" x14ac:dyDescent="0.25">
      <c r="A152" s="890" t="s">
        <v>2054</v>
      </c>
      <c r="B152" s="886" t="s">
        <v>2055</v>
      </c>
      <c r="C152" s="886" t="s">
        <v>2056</v>
      </c>
      <c r="D152" s="894" t="s">
        <v>15</v>
      </c>
      <c r="E152" s="894" t="s">
        <v>15</v>
      </c>
      <c r="F152" s="894" t="s">
        <v>15</v>
      </c>
      <c r="G152" s="894" t="s">
        <v>15</v>
      </c>
      <c r="H152" s="894" t="s">
        <v>189</v>
      </c>
      <c r="I152" s="894" t="s">
        <v>16</v>
      </c>
      <c r="J152" s="894" t="s">
        <v>189</v>
      </c>
      <c r="K152" s="894" t="s">
        <v>17</v>
      </c>
      <c r="L152" s="927" t="s">
        <v>1518</v>
      </c>
    </row>
    <row r="153" spans="1:12" ht="66" x14ac:dyDescent="0.25">
      <c r="A153" s="893" t="s">
        <v>2057</v>
      </c>
      <c r="B153" s="886" t="s">
        <v>2058</v>
      </c>
      <c r="C153" s="886" t="s">
        <v>2059</v>
      </c>
      <c r="D153" s="939" t="s">
        <v>1501</v>
      </c>
      <c r="E153" s="939" t="s">
        <v>1501</v>
      </c>
      <c r="F153" s="939" t="s">
        <v>1501</v>
      </c>
      <c r="G153" s="939" t="s">
        <v>1501</v>
      </c>
      <c r="H153" s="939" t="s">
        <v>1501</v>
      </c>
      <c r="I153" s="939" t="s">
        <v>1501</v>
      </c>
      <c r="J153" s="939" t="s">
        <v>15</v>
      </c>
      <c r="K153" s="939" t="s">
        <v>2052</v>
      </c>
      <c r="L153" s="927" t="s">
        <v>2053</v>
      </c>
    </row>
    <row r="154" spans="1:12" ht="17.25" customHeight="1" x14ac:dyDescent="0.25">
      <c r="A154" s="1099" t="s">
        <v>2060</v>
      </c>
      <c r="B154" s="1100"/>
      <c r="C154" s="1100"/>
      <c r="D154" s="1100"/>
      <c r="E154" s="1100"/>
      <c r="F154" s="1100"/>
      <c r="G154" s="1100"/>
      <c r="H154" s="1100"/>
      <c r="I154" s="1100"/>
      <c r="J154" s="1100"/>
      <c r="K154" s="1100"/>
      <c r="L154" s="1101"/>
    </row>
    <row r="155" spans="1:12" ht="57" customHeight="1" x14ac:dyDescent="0.25">
      <c r="A155" s="893" t="s">
        <v>1462</v>
      </c>
      <c r="B155" s="886" t="s">
        <v>2061</v>
      </c>
      <c r="C155" s="886" t="s">
        <v>2062</v>
      </c>
      <c r="D155" s="939" t="s">
        <v>1961</v>
      </c>
      <c r="E155" s="939" t="s">
        <v>2063</v>
      </c>
      <c r="F155" s="939" t="s">
        <v>476</v>
      </c>
      <c r="G155" s="939" t="s">
        <v>2064</v>
      </c>
      <c r="H155" s="939" t="s">
        <v>2065</v>
      </c>
      <c r="I155" s="939" t="s">
        <v>2066</v>
      </c>
      <c r="J155" s="939" t="s">
        <v>479</v>
      </c>
      <c r="K155" s="939" t="s">
        <v>2067</v>
      </c>
      <c r="L155" s="1124" t="s">
        <v>2068</v>
      </c>
    </row>
    <row r="156" spans="1:12" ht="74.25" customHeight="1" x14ac:dyDescent="0.25">
      <c r="A156" s="893" t="s">
        <v>1498</v>
      </c>
      <c r="B156" s="886" t="s">
        <v>2069</v>
      </c>
      <c r="C156" s="886" t="s">
        <v>2070</v>
      </c>
      <c r="D156" s="939" t="s">
        <v>1501</v>
      </c>
      <c r="E156" s="939" t="s">
        <v>1501</v>
      </c>
      <c r="F156" s="939" t="s">
        <v>1501</v>
      </c>
      <c r="G156" s="939" t="s">
        <v>1501</v>
      </c>
      <c r="H156" s="939" t="s">
        <v>1501</v>
      </c>
      <c r="I156" s="939" t="s">
        <v>1501</v>
      </c>
      <c r="J156" s="939" t="s">
        <v>1465</v>
      </c>
      <c r="K156" s="939" t="s">
        <v>2052</v>
      </c>
      <c r="L156" s="1098"/>
    </row>
    <row r="157" spans="1:12" ht="39.75" customHeight="1" x14ac:dyDescent="0.25">
      <c r="A157" s="893" t="s">
        <v>1946</v>
      </c>
      <c r="B157" s="886" t="s">
        <v>2071</v>
      </c>
      <c r="C157" s="886" t="s">
        <v>2072</v>
      </c>
      <c r="D157" s="939" t="s">
        <v>17</v>
      </c>
      <c r="E157" s="939" t="s">
        <v>200</v>
      </c>
      <c r="F157" s="939" t="s">
        <v>18</v>
      </c>
      <c r="G157" s="939" t="s">
        <v>19</v>
      </c>
      <c r="H157" s="939" t="s">
        <v>194</v>
      </c>
      <c r="I157" s="939" t="s">
        <v>193</v>
      </c>
      <c r="J157" s="939" t="s">
        <v>205</v>
      </c>
      <c r="K157" s="939" t="s">
        <v>20</v>
      </c>
      <c r="L157" s="927" t="s">
        <v>1518</v>
      </c>
    </row>
    <row r="158" spans="1:12" x14ac:dyDescent="0.25">
      <c r="A158" s="1099" t="s">
        <v>2073</v>
      </c>
      <c r="B158" s="1100"/>
      <c r="C158" s="1100"/>
      <c r="D158" s="1100"/>
      <c r="E158" s="1100"/>
      <c r="F158" s="1100"/>
      <c r="G158" s="1100"/>
      <c r="H158" s="1100"/>
      <c r="I158" s="1100"/>
      <c r="J158" s="1100"/>
      <c r="K158" s="1100"/>
      <c r="L158" s="1101"/>
    </row>
    <row r="159" spans="1:12" s="878" customFormat="1" ht="89.25" customHeight="1" x14ac:dyDescent="0.25">
      <c r="A159" s="905" t="s">
        <v>1462</v>
      </c>
      <c r="B159" s="902" t="s">
        <v>2074</v>
      </c>
      <c r="C159" s="902" t="s">
        <v>2075</v>
      </c>
      <c r="D159" s="943" t="s">
        <v>1501</v>
      </c>
      <c r="E159" s="943" t="s">
        <v>1501</v>
      </c>
      <c r="F159" s="943" t="s">
        <v>1501</v>
      </c>
      <c r="G159" s="943" t="s">
        <v>1501</v>
      </c>
      <c r="H159" s="943" t="s">
        <v>1501</v>
      </c>
      <c r="I159" s="943" t="s">
        <v>1501</v>
      </c>
      <c r="J159" s="943" t="s">
        <v>2076</v>
      </c>
      <c r="K159" s="943" t="s">
        <v>2052</v>
      </c>
      <c r="L159" s="931" t="s">
        <v>2077</v>
      </c>
    </row>
    <row r="160" spans="1:12" x14ac:dyDescent="0.25">
      <c r="A160" s="1118" t="s">
        <v>2078</v>
      </c>
      <c r="B160" s="1119"/>
      <c r="C160" s="1119"/>
      <c r="D160" s="1119"/>
      <c r="E160" s="1119"/>
      <c r="F160" s="1119"/>
      <c r="G160" s="1119"/>
      <c r="H160" s="1119"/>
      <c r="I160" s="1119"/>
      <c r="J160" s="1119"/>
      <c r="K160" s="1119"/>
      <c r="L160" s="1120"/>
    </row>
    <row r="161" spans="1:12" ht="14.25" customHeight="1" x14ac:dyDescent="0.25">
      <c r="A161" s="1121" t="s">
        <v>2079</v>
      </c>
      <c r="B161" s="1122"/>
      <c r="C161" s="1122"/>
      <c r="D161" s="1122"/>
      <c r="E161" s="1122"/>
      <c r="F161" s="1122"/>
      <c r="G161" s="1122"/>
      <c r="H161" s="1122"/>
      <c r="I161" s="1122"/>
      <c r="J161" s="1122"/>
      <c r="K161" s="1122"/>
      <c r="L161" s="1123"/>
    </row>
    <row r="162" spans="1:12" ht="92.4" x14ac:dyDescent="0.25">
      <c r="A162" s="890" t="s">
        <v>1498</v>
      </c>
      <c r="B162" s="891" t="s">
        <v>2080</v>
      </c>
      <c r="C162" s="891" t="s">
        <v>2081</v>
      </c>
      <c r="D162" s="938" t="s">
        <v>1501</v>
      </c>
      <c r="E162" s="938" t="s">
        <v>1501</v>
      </c>
      <c r="F162" s="938" t="s">
        <v>1501</v>
      </c>
      <c r="G162" s="938" t="s">
        <v>1501</v>
      </c>
      <c r="H162" s="938" t="s">
        <v>1501</v>
      </c>
      <c r="I162" s="938" t="s">
        <v>1501</v>
      </c>
      <c r="J162" s="938" t="s">
        <v>202</v>
      </c>
      <c r="K162" s="938" t="s">
        <v>192</v>
      </c>
      <c r="L162" s="963" t="s">
        <v>2465</v>
      </c>
    </row>
    <row r="163" spans="1:12" x14ac:dyDescent="0.25">
      <c r="A163" s="1090" t="s">
        <v>2082</v>
      </c>
      <c r="B163" s="1091"/>
      <c r="C163" s="1091"/>
      <c r="D163" s="1091"/>
      <c r="E163" s="1091"/>
      <c r="F163" s="1091"/>
      <c r="G163" s="1091"/>
      <c r="H163" s="1091"/>
      <c r="I163" s="1091"/>
      <c r="J163" s="1091"/>
      <c r="K163" s="1091"/>
      <c r="L163" s="1092"/>
    </row>
    <row r="164" spans="1:12" x14ac:dyDescent="0.25">
      <c r="A164" s="1097" t="s">
        <v>2083</v>
      </c>
      <c r="B164" s="1094"/>
      <c r="C164" s="1094"/>
      <c r="D164" s="1094"/>
      <c r="E164" s="1094"/>
      <c r="F164" s="1094"/>
      <c r="G164" s="1094"/>
      <c r="H164" s="1094"/>
      <c r="I164" s="1094"/>
      <c r="J164" s="1094"/>
      <c r="K164" s="1094"/>
      <c r="L164" s="1095"/>
    </row>
    <row r="165" spans="1:12" ht="52.8" x14ac:dyDescent="0.25">
      <c r="A165" s="893" t="s">
        <v>1997</v>
      </c>
      <c r="B165" s="886" t="s">
        <v>1323</v>
      </c>
      <c r="C165" s="886" t="s">
        <v>2084</v>
      </c>
      <c r="D165" s="939" t="s">
        <v>189</v>
      </c>
      <c r="E165" s="939" t="s">
        <v>20</v>
      </c>
      <c r="F165" s="939" t="s">
        <v>19</v>
      </c>
      <c r="G165" s="939" t="s">
        <v>192</v>
      </c>
      <c r="H165" s="939" t="s">
        <v>203</v>
      </c>
      <c r="I165" s="939" t="s">
        <v>203</v>
      </c>
      <c r="J165" s="939" t="s">
        <v>1492</v>
      </c>
      <c r="K165" s="939" t="s">
        <v>1961</v>
      </c>
      <c r="L165" s="927" t="s">
        <v>2085</v>
      </c>
    </row>
    <row r="166" spans="1:12" x14ac:dyDescent="0.25">
      <c r="A166" s="1093" t="s">
        <v>2086</v>
      </c>
      <c r="B166" s="1094"/>
      <c r="C166" s="1094"/>
      <c r="D166" s="1094"/>
      <c r="E166" s="1094"/>
      <c r="F166" s="1094"/>
      <c r="G166" s="1094"/>
      <c r="H166" s="1094"/>
      <c r="I166" s="1094"/>
      <c r="J166" s="1094"/>
      <c r="K166" s="1094"/>
      <c r="L166" s="1095"/>
    </row>
    <row r="167" spans="1:12" ht="51" customHeight="1" x14ac:dyDescent="0.25">
      <c r="A167" s="887" t="s">
        <v>2087</v>
      </c>
      <c r="B167" s="888" t="s">
        <v>2088</v>
      </c>
      <c r="C167" s="888" t="s">
        <v>2089</v>
      </c>
      <c r="D167" s="924" t="s">
        <v>1501</v>
      </c>
      <c r="E167" s="924" t="s">
        <v>1501</v>
      </c>
      <c r="F167" s="924" t="s">
        <v>15</v>
      </c>
      <c r="G167" s="924" t="s">
        <v>1501</v>
      </c>
      <c r="H167" s="924" t="s">
        <v>15</v>
      </c>
      <c r="I167" s="924" t="s">
        <v>1501</v>
      </c>
      <c r="J167" s="939" t="s">
        <v>15</v>
      </c>
      <c r="K167" s="939" t="s">
        <v>1501</v>
      </c>
      <c r="L167" s="927" t="s">
        <v>2090</v>
      </c>
    </row>
    <row r="168" spans="1:12" x14ac:dyDescent="0.25">
      <c r="A168" s="1093" t="s">
        <v>2091</v>
      </c>
      <c r="B168" s="1094"/>
      <c r="C168" s="1094"/>
      <c r="D168" s="1094"/>
      <c r="E168" s="1094"/>
      <c r="F168" s="1094"/>
      <c r="G168" s="1094"/>
      <c r="H168" s="1094"/>
      <c r="I168" s="1094"/>
      <c r="J168" s="1094"/>
      <c r="K168" s="1094"/>
      <c r="L168" s="1095"/>
    </row>
    <row r="169" spans="1:12" ht="51" customHeight="1" x14ac:dyDescent="0.25">
      <c r="A169" s="887" t="s">
        <v>2092</v>
      </c>
      <c r="B169" s="888" t="s">
        <v>2093</v>
      </c>
      <c r="C169" s="888" t="s">
        <v>2094</v>
      </c>
      <c r="D169" s="924" t="s">
        <v>1501</v>
      </c>
      <c r="E169" s="924" t="s">
        <v>189</v>
      </c>
      <c r="F169" s="924" t="s">
        <v>192</v>
      </c>
      <c r="G169" s="924" t="s">
        <v>202</v>
      </c>
      <c r="H169" s="924" t="s">
        <v>471</v>
      </c>
      <c r="I169" s="924" t="s">
        <v>473</v>
      </c>
      <c r="J169" s="939" t="s">
        <v>1898</v>
      </c>
      <c r="K169" s="939" t="s">
        <v>476</v>
      </c>
      <c r="L169" s="927" t="s">
        <v>2095</v>
      </c>
    </row>
    <row r="170" spans="1:12" x14ac:dyDescent="0.25">
      <c r="A170" s="1093" t="s">
        <v>2096</v>
      </c>
      <c r="B170" s="1094"/>
      <c r="C170" s="1094"/>
      <c r="D170" s="1094"/>
      <c r="E170" s="1094"/>
      <c r="F170" s="1094"/>
      <c r="G170" s="1094"/>
      <c r="H170" s="1094"/>
      <c r="I170" s="1094"/>
      <c r="J170" s="1094"/>
      <c r="K170" s="1094"/>
      <c r="L170" s="1095"/>
    </row>
    <row r="171" spans="1:12" ht="92.4" x14ac:dyDescent="0.25">
      <c r="A171" s="887" t="s">
        <v>1508</v>
      </c>
      <c r="B171" s="888" t="s">
        <v>2097</v>
      </c>
      <c r="C171" s="888" t="s">
        <v>2098</v>
      </c>
      <c r="D171" s="924" t="s">
        <v>1501</v>
      </c>
      <c r="E171" s="924" t="s">
        <v>1501</v>
      </c>
      <c r="F171" s="924" t="s">
        <v>1501</v>
      </c>
      <c r="G171" s="924" t="s">
        <v>1501</v>
      </c>
      <c r="H171" s="924" t="s">
        <v>1501</v>
      </c>
      <c r="I171" s="924" t="s">
        <v>1501</v>
      </c>
      <c r="J171" s="939" t="s">
        <v>1961</v>
      </c>
      <c r="K171" s="939" t="s">
        <v>2052</v>
      </c>
      <c r="L171" s="927" t="s">
        <v>2099</v>
      </c>
    </row>
    <row r="172" spans="1:12" x14ac:dyDescent="0.25">
      <c r="A172" s="1093" t="s">
        <v>2100</v>
      </c>
      <c r="B172" s="1094"/>
      <c r="C172" s="1094"/>
      <c r="D172" s="1094"/>
      <c r="E172" s="1094"/>
      <c r="F172" s="1094"/>
      <c r="G172" s="1094"/>
      <c r="H172" s="1094"/>
      <c r="I172" s="1094"/>
      <c r="J172" s="1094"/>
      <c r="K172" s="1094"/>
      <c r="L172" s="1095"/>
    </row>
    <row r="173" spans="1:12" ht="53.25" customHeight="1" x14ac:dyDescent="0.25">
      <c r="A173" s="906" t="s">
        <v>1462</v>
      </c>
      <c r="B173" s="907" t="s">
        <v>2101</v>
      </c>
      <c r="C173" s="907" t="s">
        <v>2102</v>
      </c>
      <c r="D173" s="944" t="s">
        <v>1501</v>
      </c>
      <c r="E173" s="944" t="s">
        <v>1501</v>
      </c>
      <c r="F173" s="944" t="s">
        <v>1501</v>
      </c>
      <c r="G173" s="944" t="s">
        <v>1501</v>
      </c>
      <c r="H173" s="944" t="s">
        <v>1501</v>
      </c>
      <c r="I173" s="944" t="s">
        <v>1501</v>
      </c>
      <c r="J173" s="894" t="s">
        <v>2065</v>
      </c>
      <c r="K173" s="894" t="s">
        <v>2103</v>
      </c>
      <c r="L173" s="927" t="s">
        <v>2104</v>
      </c>
    </row>
    <row r="174" spans="1:12" ht="39.6" x14ac:dyDescent="0.25">
      <c r="A174" s="890" t="s">
        <v>1498</v>
      </c>
      <c r="B174" s="886" t="s">
        <v>2105</v>
      </c>
      <c r="C174" s="886" t="s">
        <v>2106</v>
      </c>
      <c r="D174" s="894" t="s">
        <v>200</v>
      </c>
      <c r="E174" s="894" t="s">
        <v>19</v>
      </c>
      <c r="F174" s="894" t="s">
        <v>19</v>
      </c>
      <c r="G174" s="894" t="s">
        <v>193</v>
      </c>
      <c r="H174" s="894" t="s">
        <v>201</v>
      </c>
      <c r="I174" s="894" t="s">
        <v>194</v>
      </c>
      <c r="J174" s="894" t="s">
        <v>1962</v>
      </c>
      <c r="K174" s="894" t="s">
        <v>2107</v>
      </c>
      <c r="L174" s="927" t="s">
        <v>2108</v>
      </c>
    </row>
    <row r="175" spans="1:12" x14ac:dyDescent="0.25">
      <c r="A175" s="1090" t="s">
        <v>2109</v>
      </c>
      <c r="B175" s="1091"/>
      <c r="C175" s="1091"/>
      <c r="D175" s="1091"/>
      <c r="E175" s="1091"/>
      <c r="F175" s="1091"/>
      <c r="G175" s="1091"/>
      <c r="H175" s="1091"/>
      <c r="I175" s="1091"/>
      <c r="J175" s="1091"/>
      <c r="K175" s="1091"/>
      <c r="L175" s="1092"/>
    </row>
    <row r="176" spans="1:12" x14ac:dyDescent="0.25">
      <c r="A176" s="1097" t="s">
        <v>2110</v>
      </c>
      <c r="B176" s="1094"/>
      <c r="C176" s="1094"/>
      <c r="D176" s="1094"/>
      <c r="E176" s="1094"/>
      <c r="F176" s="1094"/>
      <c r="G176" s="1094"/>
      <c r="H176" s="1094"/>
      <c r="I176" s="1094"/>
      <c r="J176" s="1094"/>
      <c r="K176" s="1094"/>
      <c r="L176" s="1095"/>
    </row>
    <row r="177" spans="1:12" ht="63" customHeight="1" x14ac:dyDescent="0.25">
      <c r="A177" s="890" t="s">
        <v>2111</v>
      </c>
      <c r="B177" s="886" t="s">
        <v>2112</v>
      </c>
      <c r="C177" s="886" t="s">
        <v>2113</v>
      </c>
      <c r="D177" s="894" t="s">
        <v>2065</v>
      </c>
      <c r="E177" s="894" t="s">
        <v>1501</v>
      </c>
      <c r="F177" s="894" t="s">
        <v>1466</v>
      </c>
      <c r="G177" s="894" t="s">
        <v>1501</v>
      </c>
      <c r="H177" s="894" t="s">
        <v>1727</v>
      </c>
      <c r="I177" s="894" t="s">
        <v>1501</v>
      </c>
      <c r="J177" s="894" t="s">
        <v>2114</v>
      </c>
      <c r="K177" s="894" t="s">
        <v>1501</v>
      </c>
      <c r="L177" s="927" t="s">
        <v>2090</v>
      </c>
    </row>
    <row r="178" spans="1:12" x14ac:dyDescent="0.25">
      <c r="A178" s="1097" t="s">
        <v>2115</v>
      </c>
      <c r="B178" s="1094"/>
      <c r="C178" s="1094"/>
      <c r="D178" s="1094"/>
      <c r="E178" s="1094"/>
      <c r="F178" s="1094"/>
      <c r="G178" s="1094"/>
      <c r="H178" s="1094"/>
      <c r="I178" s="1094"/>
      <c r="J178" s="1094"/>
      <c r="K178" s="1094"/>
      <c r="L178" s="1095"/>
    </row>
    <row r="179" spans="1:12" ht="66" x14ac:dyDescent="0.25">
      <c r="A179" s="890" t="s">
        <v>1881</v>
      </c>
      <c r="B179" s="886" t="s">
        <v>2116</v>
      </c>
      <c r="C179" s="954" t="s">
        <v>2117</v>
      </c>
      <c r="D179" s="894" t="s">
        <v>1501</v>
      </c>
      <c r="E179" s="894" t="s">
        <v>1501</v>
      </c>
      <c r="F179" s="894" t="s">
        <v>1501</v>
      </c>
      <c r="G179" s="894" t="s">
        <v>1501</v>
      </c>
      <c r="H179" s="894" t="s">
        <v>1501</v>
      </c>
      <c r="I179" s="894" t="s">
        <v>1501</v>
      </c>
      <c r="J179" s="894" t="s">
        <v>1961</v>
      </c>
      <c r="K179" s="894" t="s">
        <v>200</v>
      </c>
      <c r="L179" s="927" t="s">
        <v>2090</v>
      </c>
    </row>
    <row r="180" spans="1:12" x14ac:dyDescent="0.25">
      <c r="A180" s="1090" t="s">
        <v>2118</v>
      </c>
      <c r="B180" s="1091"/>
      <c r="C180" s="1091"/>
      <c r="D180" s="1091"/>
      <c r="E180" s="1091"/>
      <c r="F180" s="1091"/>
      <c r="G180" s="1091"/>
      <c r="H180" s="1091"/>
      <c r="I180" s="1091"/>
      <c r="J180" s="1091"/>
      <c r="K180" s="1091"/>
      <c r="L180" s="1092"/>
    </row>
    <row r="181" spans="1:12" x14ac:dyDescent="0.25">
      <c r="A181" s="1097" t="s">
        <v>2119</v>
      </c>
      <c r="B181" s="1094"/>
      <c r="C181" s="1094"/>
      <c r="D181" s="1094"/>
      <c r="E181" s="1094"/>
      <c r="F181" s="1094"/>
      <c r="G181" s="1094"/>
      <c r="H181" s="1094"/>
      <c r="I181" s="1094"/>
      <c r="J181" s="1094"/>
      <c r="K181" s="1094"/>
      <c r="L181" s="1095"/>
    </row>
    <row r="182" spans="1:12" ht="66" x14ac:dyDescent="0.25">
      <c r="A182" s="885" t="s">
        <v>1895</v>
      </c>
      <c r="B182" s="954" t="s">
        <v>2445</v>
      </c>
      <c r="C182" s="886" t="s">
        <v>2120</v>
      </c>
      <c r="D182" s="894" t="s">
        <v>1501</v>
      </c>
      <c r="E182" s="894" t="s">
        <v>1501</v>
      </c>
      <c r="F182" s="894" t="s">
        <v>1501</v>
      </c>
      <c r="G182" s="894" t="s">
        <v>1501</v>
      </c>
      <c r="H182" s="894" t="s">
        <v>1501</v>
      </c>
      <c r="I182" s="894" t="s">
        <v>1501</v>
      </c>
      <c r="J182" s="939" t="s">
        <v>1652</v>
      </c>
      <c r="K182" s="939" t="s">
        <v>1501</v>
      </c>
      <c r="L182" s="927" t="s">
        <v>2121</v>
      </c>
    </row>
    <row r="183" spans="1:12" ht="66" x14ac:dyDescent="0.25">
      <c r="A183" s="885" t="s">
        <v>2122</v>
      </c>
      <c r="B183" s="886" t="s">
        <v>2123</v>
      </c>
      <c r="C183" s="886" t="s">
        <v>2124</v>
      </c>
      <c r="D183" s="894" t="s">
        <v>1501</v>
      </c>
      <c r="E183" s="894" t="s">
        <v>1501</v>
      </c>
      <c r="F183" s="894" t="s">
        <v>1501</v>
      </c>
      <c r="G183" s="894" t="s">
        <v>1501</v>
      </c>
      <c r="H183" s="894" t="s">
        <v>1501</v>
      </c>
      <c r="I183" s="894" t="s">
        <v>1501</v>
      </c>
      <c r="J183" s="939" t="s">
        <v>1602</v>
      </c>
      <c r="K183" s="939" t="s">
        <v>1501</v>
      </c>
      <c r="L183" s="927" t="s">
        <v>1336</v>
      </c>
    </row>
    <row r="184" spans="1:12" ht="66" x14ac:dyDescent="0.25">
      <c r="A184" s="885" t="s">
        <v>2125</v>
      </c>
      <c r="B184" s="886" t="s">
        <v>2126</v>
      </c>
      <c r="C184" s="886" t="s">
        <v>2127</v>
      </c>
      <c r="D184" s="894" t="s">
        <v>1501</v>
      </c>
      <c r="E184" s="894" t="s">
        <v>1501</v>
      </c>
      <c r="F184" s="894" t="s">
        <v>1501</v>
      </c>
      <c r="G184" s="894" t="s">
        <v>1501</v>
      </c>
      <c r="H184" s="894" t="s">
        <v>1501</v>
      </c>
      <c r="I184" s="894" t="s">
        <v>1501</v>
      </c>
      <c r="J184" s="939" t="s">
        <v>1652</v>
      </c>
      <c r="K184" s="945" t="s">
        <v>1501</v>
      </c>
      <c r="L184" s="927" t="s">
        <v>2128</v>
      </c>
    </row>
    <row r="185" spans="1:12" x14ac:dyDescent="0.25">
      <c r="A185" s="1097" t="s">
        <v>2129</v>
      </c>
      <c r="B185" s="1094"/>
      <c r="C185" s="1094"/>
      <c r="D185" s="1094"/>
      <c r="E185" s="1094"/>
      <c r="F185" s="1094"/>
      <c r="G185" s="1094"/>
      <c r="H185" s="1094"/>
      <c r="I185" s="1094"/>
      <c r="J185" s="1094"/>
      <c r="K185" s="1094"/>
      <c r="L185" s="1095"/>
    </row>
    <row r="186" spans="1:12" s="879" customFormat="1" ht="92.4" x14ac:dyDescent="0.25">
      <c r="A186" s="908" t="s">
        <v>2130</v>
      </c>
      <c r="B186" s="909" t="s">
        <v>2131</v>
      </c>
      <c r="C186" s="909" t="s">
        <v>2132</v>
      </c>
      <c r="D186" s="946" t="s">
        <v>1501</v>
      </c>
      <c r="E186" s="946" t="s">
        <v>1501</v>
      </c>
      <c r="F186" s="946" t="s">
        <v>2133</v>
      </c>
      <c r="G186" s="946" t="s">
        <v>1501</v>
      </c>
      <c r="H186" s="946" t="s">
        <v>1501</v>
      </c>
      <c r="I186" s="946" t="s">
        <v>1501</v>
      </c>
      <c r="J186" s="946" t="s">
        <v>1501</v>
      </c>
      <c r="K186" s="946" t="s">
        <v>1501</v>
      </c>
      <c r="L186" s="931" t="s">
        <v>2134</v>
      </c>
    </row>
    <row r="187" spans="1:12" s="879" customFormat="1" ht="132" x14ac:dyDescent="0.25">
      <c r="A187" s="910" t="s">
        <v>1679</v>
      </c>
      <c r="B187" s="902" t="s">
        <v>2135</v>
      </c>
      <c r="C187" s="902" t="s">
        <v>2136</v>
      </c>
      <c r="D187" s="942" t="s">
        <v>2137</v>
      </c>
      <c r="E187" s="942" t="s">
        <v>2137</v>
      </c>
      <c r="F187" s="942" t="s">
        <v>2138</v>
      </c>
      <c r="G187" s="942" t="s">
        <v>2138</v>
      </c>
      <c r="H187" s="942" t="s">
        <v>2139</v>
      </c>
      <c r="I187" s="942" t="s">
        <v>2140</v>
      </c>
      <c r="J187" s="943" t="s">
        <v>2141</v>
      </c>
      <c r="K187" s="943" t="s">
        <v>2142</v>
      </c>
      <c r="L187" s="931" t="s">
        <v>1518</v>
      </c>
    </row>
    <row r="188" spans="1:12" x14ac:dyDescent="0.25">
      <c r="A188" s="1090" t="s">
        <v>2143</v>
      </c>
      <c r="B188" s="1091"/>
      <c r="C188" s="1091"/>
      <c r="D188" s="1091"/>
      <c r="E188" s="1091"/>
      <c r="F188" s="1091"/>
      <c r="G188" s="1091"/>
      <c r="H188" s="1091"/>
      <c r="I188" s="1091"/>
      <c r="J188" s="1091"/>
      <c r="K188" s="1091"/>
      <c r="L188" s="1092"/>
    </row>
    <row r="189" spans="1:12" x14ac:dyDescent="0.25">
      <c r="A189" s="1097" t="s">
        <v>2144</v>
      </c>
      <c r="B189" s="1094"/>
      <c r="C189" s="1094"/>
      <c r="D189" s="1094"/>
      <c r="E189" s="1094"/>
      <c r="F189" s="1094"/>
      <c r="G189" s="1094"/>
      <c r="H189" s="1094"/>
      <c r="I189" s="1094"/>
      <c r="J189" s="1094"/>
      <c r="K189" s="1094"/>
      <c r="L189" s="1095"/>
    </row>
    <row r="190" spans="1:12" ht="36" customHeight="1" x14ac:dyDescent="0.25">
      <c r="A190" s="1116" t="s">
        <v>1462</v>
      </c>
      <c r="B190" s="1103" t="s">
        <v>2145</v>
      </c>
      <c r="C190" s="886" t="s">
        <v>2146</v>
      </c>
      <c r="D190" s="894" t="s">
        <v>1501</v>
      </c>
      <c r="E190" s="894" t="s">
        <v>1501</v>
      </c>
      <c r="F190" s="894" t="s">
        <v>1501</v>
      </c>
      <c r="G190" s="894" t="s">
        <v>1501</v>
      </c>
      <c r="H190" s="894" t="s">
        <v>1501</v>
      </c>
      <c r="I190" s="894" t="s">
        <v>1501</v>
      </c>
      <c r="J190" s="894" t="s">
        <v>1906</v>
      </c>
      <c r="K190" s="894" t="s">
        <v>1501</v>
      </c>
      <c r="L190" s="1098" t="s">
        <v>2147</v>
      </c>
    </row>
    <row r="191" spans="1:12" ht="26.25" customHeight="1" x14ac:dyDescent="0.25">
      <c r="A191" s="1116"/>
      <c r="B191" s="1103"/>
      <c r="C191" s="886" t="s">
        <v>2148</v>
      </c>
      <c r="D191" s="939" t="s">
        <v>1501</v>
      </c>
      <c r="E191" s="939" t="s">
        <v>1501</v>
      </c>
      <c r="F191" s="939" t="s">
        <v>1501</v>
      </c>
      <c r="G191" s="939" t="s">
        <v>1501</v>
      </c>
      <c r="H191" s="939" t="s">
        <v>1501</v>
      </c>
      <c r="I191" s="939" t="s">
        <v>1501</v>
      </c>
      <c r="J191" s="939" t="s">
        <v>2149</v>
      </c>
      <c r="K191" s="939" t="s">
        <v>1501</v>
      </c>
      <c r="L191" s="1098"/>
    </row>
    <row r="192" spans="1:12" ht="52.5" customHeight="1" x14ac:dyDescent="0.25">
      <c r="A192" s="885" t="s">
        <v>1839</v>
      </c>
      <c r="B192" s="886" t="s">
        <v>848</v>
      </c>
      <c r="C192" s="886" t="s">
        <v>2150</v>
      </c>
      <c r="D192" s="939" t="s">
        <v>1501</v>
      </c>
      <c r="E192" s="939" t="s">
        <v>1501</v>
      </c>
      <c r="F192" s="939" t="s">
        <v>1501</v>
      </c>
      <c r="G192" s="939" t="s">
        <v>1501</v>
      </c>
      <c r="H192" s="939" t="s">
        <v>1501</v>
      </c>
      <c r="I192" s="939" t="s">
        <v>1501</v>
      </c>
      <c r="J192" s="939" t="s">
        <v>20</v>
      </c>
      <c r="K192" s="939" t="s">
        <v>19</v>
      </c>
      <c r="L192" s="927" t="s">
        <v>2151</v>
      </c>
    </row>
    <row r="193" spans="1:12" ht="80.25" customHeight="1" x14ac:dyDescent="0.25">
      <c r="A193" s="885" t="s">
        <v>1504</v>
      </c>
      <c r="B193" s="895" t="s">
        <v>2152</v>
      </c>
      <c r="C193" s="886" t="s">
        <v>2153</v>
      </c>
      <c r="D193" s="939" t="s">
        <v>1501</v>
      </c>
      <c r="E193" s="939" t="s">
        <v>1501</v>
      </c>
      <c r="F193" s="939" t="s">
        <v>1501</v>
      </c>
      <c r="G193" s="939" t="s">
        <v>1501</v>
      </c>
      <c r="H193" s="939" t="s">
        <v>1501</v>
      </c>
      <c r="I193" s="939" t="s">
        <v>1501</v>
      </c>
      <c r="J193" s="939" t="s">
        <v>1652</v>
      </c>
      <c r="K193" s="939" t="s">
        <v>1501</v>
      </c>
      <c r="L193" s="927" t="s">
        <v>2154</v>
      </c>
    </row>
    <row r="194" spans="1:12" ht="79.2" x14ac:dyDescent="0.25">
      <c r="A194" s="885" t="s">
        <v>2155</v>
      </c>
      <c r="B194" s="895" t="s">
        <v>2156</v>
      </c>
      <c r="C194" s="914" t="s">
        <v>2157</v>
      </c>
      <c r="D194" s="947" t="s">
        <v>1501</v>
      </c>
      <c r="E194" s="947" t="s">
        <v>1501</v>
      </c>
      <c r="F194" s="947" t="s">
        <v>1501</v>
      </c>
      <c r="G194" s="947" t="s">
        <v>1501</v>
      </c>
      <c r="H194" s="947" t="s">
        <v>1501</v>
      </c>
      <c r="I194" s="947" t="s">
        <v>1501</v>
      </c>
      <c r="J194" s="947" t="s">
        <v>1773</v>
      </c>
      <c r="K194" s="947" t="s">
        <v>1501</v>
      </c>
      <c r="L194" s="927" t="s">
        <v>2158</v>
      </c>
    </row>
    <row r="195" spans="1:12" ht="26.4" x14ac:dyDescent="0.25">
      <c r="A195" s="885" t="s">
        <v>2159</v>
      </c>
      <c r="B195" s="954" t="s">
        <v>2160</v>
      </c>
      <c r="C195" s="914" t="s">
        <v>2161</v>
      </c>
      <c r="D195" s="947" t="s">
        <v>1501</v>
      </c>
      <c r="E195" s="947" t="s">
        <v>1501</v>
      </c>
      <c r="F195" s="947" t="s">
        <v>1501</v>
      </c>
      <c r="G195" s="947" t="s">
        <v>1501</v>
      </c>
      <c r="H195" s="947" t="s">
        <v>1501</v>
      </c>
      <c r="I195" s="947" t="s">
        <v>1501</v>
      </c>
      <c r="J195" s="947" t="s">
        <v>1906</v>
      </c>
      <c r="K195" s="947" t="s">
        <v>1501</v>
      </c>
      <c r="L195" s="927" t="s">
        <v>2162</v>
      </c>
    </row>
    <row r="196" spans="1:12" s="877" customFormat="1" ht="52.8" x14ac:dyDescent="0.25">
      <c r="A196" s="910" t="s">
        <v>1901</v>
      </c>
      <c r="B196" s="902" t="s">
        <v>846</v>
      </c>
      <c r="C196" s="914" t="s">
        <v>2163</v>
      </c>
      <c r="D196" s="947" t="s">
        <v>1501</v>
      </c>
      <c r="E196" s="947" t="s">
        <v>1501</v>
      </c>
      <c r="F196" s="947" t="s">
        <v>1501</v>
      </c>
      <c r="G196" s="947" t="s">
        <v>1501</v>
      </c>
      <c r="H196" s="947" t="s">
        <v>1501</v>
      </c>
      <c r="I196" s="947" t="s">
        <v>1501</v>
      </c>
      <c r="J196" s="947" t="s">
        <v>2149</v>
      </c>
      <c r="K196" s="947" t="s">
        <v>1501</v>
      </c>
      <c r="L196" s="931" t="s">
        <v>2164</v>
      </c>
    </row>
    <row r="197" spans="1:12" ht="105.6" x14ac:dyDescent="0.25">
      <c r="A197" s="885" t="s">
        <v>2165</v>
      </c>
      <c r="B197" s="886" t="s">
        <v>2166</v>
      </c>
      <c r="C197" s="914" t="s">
        <v>2167</v>
      </c>
      <c r="D197" s="947" t="s">
        <v>1501</v>
      </c>
      <c r="E197" s="947" t="s">
        <v>1501</v>
      </c>
      <c r="F197" s="947" t="s">
        <v>1501</v>
      </c>
      <c r="G197" s="947" t="s">
        <v>1501</v>
      </c>
      <c r="H197" s="947" t="s">
        <v>1501</v>
      </c>
      <c r="I197" s="947" t="s">
        <v>1501</v>
      </c>
      <c r="J197" s="947" t="s">
        <v>1602</v>
      </c>
      <c r="K197" s="947" t="s">
        <v>1501</v>
      </c>
      <c r="L197" s="927" t="s">
        <v>2168</v>
      </c>
    </row>
    <row r="198" spans="1:12" s="880" customFormat="1" ht="52.8" x14ac:dyDescent="0.25">
      <c r="A198" s="908" t="s">
        <v>2169</v>
      </c>
      <c r="B198" s="909" t="s">
        <v>2170</v>
      </c>
      <c r="C198" s="909" t="s">
        <v>2171</v>
      </c>
      <c r="D198" s="946" t="s">
        <v>1501</v>
      </c>
      <c r="E198" s="946" t="s">
        <v>1501</v>
      </c>
      <c r="F198" s="946" t="s">
        <v>1501</v>
      </c>
      <c r="G198" s="946" t="s">
        <v>1501</v>
      </c>
      <c r="H198" s="946" t="s">
        <v>1501</v>
      </c>
      <c r="I198" s="946" t="s">
        <v>1501</v>
      </c>
      <c r="J198" s="946" t="s">
        <v>1773</v>
      </c>
      <c r="K198" s="946" t="s">
        <v>1501</v>
      </c>
      <c r="L198" s="933" t="s">
        <v>2466</v>
      </c>
    </row>
    <row r="199" spans="1:12" s="880" customFormat="1" ht="52.8" x14ac:dyDescent="0.25">
      <c r="A199" s="908" t="s">
        <v>2172</v>
      </c>
      <c r="B199" s="909" t="s">
        <v>2173</v>
      </c>
      <c r="C199" s="909" t="s">
        <v>2174</v>
      </c>
      <c r="D199" s="946" t="s">
        <v>205</v>
      </c>
      <c r="E199" s="946" t="s">
        <v>1501</v>
      </c>
      <c r="F199" s="946" t="s">
        <v>2067</v>
      </c>
      <c r="G199" s="946" t="s">
        <v>1501</v>
      </c>
      <c r="H199" s="946" t="s">
        <v>2065</v>
      </c>
      <c r="I199" s="946" t="s">
        <v>2175</v>
      </c>
      <c r="J199" s="946" t="s">
        <v>1466</v>
      </c>
      <c r="K199" s="946" t="s">
        <v>2176</v>
      </c>
      <c r="L199" s="933" t="s">
        <v>2177</v>
      </c>
    </row>
    <row r="200" spans="1:12" x14ac:dyDescent="0.25">
      <c r="A200" s="1097" t="s">
        <v>2178</v>
      </c>
      <c r="B200" s="1094"/>
      <c r="C200" s="1094"/>
      <c r="D200" s="1094"/>
      <c r="E200" s="1094"/>
      <c r="F200" s="1094"/>
      <c r="G200" s="1094"/>
      <c r="H200" s="1094"/>
      <c r="I200" s="1094"/>
      <c r="J200" s="1094"/>
      <c r="K200" s="1094"/>
      <c r="L200" s="1095"/>
    </row>
    <row r="201" spans="1:12" ht="38.25" customHeight="1" x14ac:dyDescent="0.25">
      <c r="A201" s="893" t="s">
        <v>1814</v>
      </c>
      <c r="B201" s="886" t="s">
        <v>2179</v>
      </c>
      <c r="C201" s="886" t="s">
        <v>2180</v>
      </c>
      <c r="D201" s="939" t="s">
        <v>1501</v>
      </c>
      <c r="E201" s="939" t="s">
        <v>1501</v>
      </c>
      <c r="F201" s="939" t="s">
        <v>1501</v>
      </c>
      <c r="G201" s="939" t="s">
        <v>1501</v>
      </c>
      <c r="H201" s="939" t="s">
        <v>1501</v>
      </c>
      <c r="I201" s="939" t="s">
        <v>1501</v>
      </c>
      <c r="J201" s="939" t="s">
        <v>1466</v>
      </c>
      <c r="K201" s="939" t="s">
        <v>1501</v>
      </c>
      <c r="L201" s="932" t="s">
        <v>2181</v>
      </c>
    </row>
    <row r="202" spans="1:12" x14ac:dyDescent="0.25">
      <c r="A202" s="1097" t="s">
        <v>2182</v>
      </c>
      <c r="B202" s="1094"/>
      <c r="C202" s="1094"/>
      <c r="D202" s="1094"/>
      <c r="E202" s="1094"/>
      <c r="F202" s="1094"/>
      <c r="G202" s="1094"/>
      <c r="H202" s="1094"/>
      <c r="I202" s="1094"/>
      <c r="J202" s="1094"/>
      <c r="K202" s="1094"/>
      <c r="L202" s="1095"/>
    </row>
    <row r="203" spans="1:12" ht="79.2" x14ac:dyDescent="0.25">
      <c r="A203" s="893" t="s">
        <v>1462</v>
      </c>
      <c r="B203" s="886" t="s">
        <v>2183</v>
      </c>
      <c r="C203" s="886" t="s">
        <v>2184</v>
      </c>
      <c r="D203" s="939" t="s">
        <v>1501</v>
      </c>
      <c r="E203" s="939" t="s">
        <v>1501</v>
      </c>
      <c r="F203" s="939" t="s">
        <v>200</v>
      </c>
      <c r="G203" s="939" t="s">
        <v>17</v>
      </c>
      <c r="H203" s="939" t="s">
        <v>200</v>
      </c>
      <c r="I203" s="939" t="s">
        <v>17</v>
      </c>
      <c r="J203" s="939" t="s">
        <v>200</v>
      </c>
      <c r="K203" s="939" t="s">
        <v>17</v>
      </c>
      <c r="L203" s="927" t="s">
        <v>2185</v>
      </c>
    </row>
    <row r="204" spans="1:12" ht="79.2" x14ac:dyDescent="0.25">
      <c r="A204" s="893" t="s">
        <v>2186</v>
      </c>
      <c r="B204" s="954" t="s">
        <v>2187</v>
      </c>
      <c r="C204" s="886" t="s">
        <v>2188</v>
      </c>
      <c r="D204" s="939" t="s">
        <v>1501</v>
      </c>
      <c r="E204" s="939" t="s">
        <v>1501</v>
      </c>
      <c r="F204" s="939" t="s">
        <v>1501</v>
      </c>
      <c r="G204" s="939" t="s">
        <v>1501</v>
      </c>
      <c r="H204" s="939" t="s">
        <v>1501</v>
      </c>
      <c r="I204" s="939" t="s">
        <v>1501</v>
      </c>
      <c r="J204" s="939" t="s">
        <v>1652</v>
      </c>
      <c r="K204" s="939" t="s">
        <v>1501</v>
      </c>
      <c r="L204" s="927" t="s">
        <v>2189</v>
      </c>
    </row>
    <row r="205" spans="1:12" ht="52.8" x14ac:dyDescent="0.25">
      <c r="A205" s="893" t="s">
        <v>2190</v>
      </c>
      <c r="B205" s="895" t="s">
        <v>2191</v>
      </c>
      <c r="C205" s="886" t="s">
        <v>2192</v>
      </c>
      <c r="D205" s="939" t="s">
        <v>1501</v>
      </c>
      <c r="E205" s="939" t="s">
        <v>1501</v>
      </c>
      <c r="F205" s="939" t="s">
        <v>1501</v>
      </c>
      <c r="G205" s="939" t="s">
        <v>1501</v>
      </c>
      <c r="H205" s="939" t="s">
        <v>1501</v>
      </c>
      <c r="I205" s="939" t="s">
        <v>1501</v>
      </c>
      <c r="J205" s="939" t="s">
        <v>1652</v>
      </c>
      <c r="K205" s="939" t="s">
        <v>1501</v>
      </c>
      <c r="L205" s="927" t="s">
        <v>2193</v>
      </c>
    </row>
    <row r="206" spans="1:12" ht="40.950000000000003" customHeight="1" x14ac:dyDescent="0.25">
      <c r="A206" s="1102" t="s">
        <v>2159</v>
      </c>
      <c r="B206" s="1117" t="s">
        <v>2194</v>
      </c>
      <c r="C206" s="886" t="s">
        <v>2195</v>
      </c>
      <c r="D206" s="939" t="s">
        <v>1501</v>
      </c>
      <c r="E206" s="939" t="s">
        <v>1501</v>
      </c>
      <c r="F206" s="939" t="s">
        <v>1501</v>
      </c>
      <c r="G206" s="939" t="s">
        <v>1501</v>
      </c>
      <c r="H206" s="939" t="s">
        <v>1501</v>
      </c>
      <c r="I206" s="939" t="s">
        <v>1501</v>
      </c>
      <c r="J206" s="939" t="s">
        <v>1652</v>
      </c>
      <c r="K206" s="939" t="s">
        <v>1501</v>
      </c>
      <c r="L206" s="1098" t="s">
        <v>2196</v>
      </c>
    </row>
    <row r="207" spans="1:12" ht="68.400000000000006" customHeight="1" x14ac:dyDescent="0.25">
      <c r="A207" s="1102"/>
      <c r="B207" s="1117"/>
      <c r="C207" s="886" t="s">
        <v>2197</v>
      </c>
      <c r="D207" s="939" t="s">
        <v>1501</v>
      </c>
      <c r="E207" s="939" t="s">
        <v>1501</v>
      </c>
      <c r="F207" s="939" t="s">
        <v>1501</v>
      </c>
      <c r="G207" s="939" t="s">
        <v>1501</v>
      </c>
      <c r="H207" s="939" t="s">
        <v>1501</v>
      </c>
      <c r="I207" s="939" t="s">
        <v>1501</v>
      </c>
      <c r="J207" s="939" t="s">
        <v>1652</v>
      </c>
      <c r="K207" s="939" t="s">
        <v>1501</v>
      </c>
      <c r="L207" s="1098"/>
    </row>
    <row r="208" spans="1:12" x14ac:dyDescent="0.25">
      <c r="A208" s="1090" t="s">
        <v>2198</v>
      </c>
      <c r="B208" s="1091"/>
      <c r="C208" s="1091"/>
      <c r="D208" s="1091"/>
      <c r="E208" s="1091"/>
      <c r="F208" s="1091"/>
      <c r="G208" s="1091"/>
      <c r="H208" s="1091"/>
      <c r="I208" s="1091"/>
      <c r="J208" s="1091"/>
      <c r="K208" s="1091"/>
      <c r="L208" s="1092"/>
    </row>
    <row r="209" spans="1:12" x14ac:dyDescent="0.25">
      <c r="A209" s="1097" t="s">
        <v>2199</v>
      </c>
      <c r="B209" s="1094"/>
      <c r="C209" s="1094"/>
      <c r="D209" s="1094"/>
      <c r="E209" s="1094"/>
      <c r="F209" s="1094"/>
      <c r="G209" s="1094"/>
      <c r="H209" s="1094"/>
      <c r="I209" s="1094"/>
      <c r="J209" s="1094"/>
      <c r="K209" s="1094"/>
      <c r="L209" s="1095"/>
    </row>
    <row r="210" spans="1:12" ht="52.8" x14ac:dyDescent="0.25">
      <c r="A210" s="893" t="s">
        <v>2169</v>
      </c>
      <c r="B210" s="886" t="s">
        <v>2200</v>
      </c>
      <c r="C210" s="886" t="s">
        <v>2201</v>
      </c>
      <c r="D210" s="939" t="s">
        <v>446</v>
      </c>
      <c r="E210" s="939" t="s">
        <v>1693</v>
      </c>
      <c r="F210" s="939" t="s">
        <v>1466</v>
      </c>
      <c r="G210" s="939" t="s">
        <v>2202</v>
      </c>
      <c r="H210" s="939" t="s">
        <v>1950</v>
      </c>
      <c r="I210" s="939" t="s">
        <v>1873</v>
      </c>
      <c r="J210" s="939" t="s">
        <v>1722</v>
      </c>
      <c r="K210" s="939" t="s">
        <v>2203</v>
      </c>
      <c r="L210" s="1098" t="s">
        <v>1518</v>
      </c>
    </row>
    <row r="211" spans="1:12" ht="52.8" x14ac:dyDescent="0.25">
      <c r="A211" s="893" t="s">
        <v>2204</v>
      </c>
      <c r="B211" s="886" t="s">
        <v>2205</v>
      </c>
      <c r="C211" s="886" t="s">
        <v>2206</v>
      </c>
      <c r="D211" s="939" t="s">
        <v>1501</v>
      </c>
      <c r="E211" s="939" t="s">
        <v>1501</v>
      </c>
      <c r="F211" s="939" t="s">
        <v>1501</v>
      </c>
      <c r="G211" s="939" t="s">
        <v>1501</v>
      </c>
      <c r="H211" s="939" t="s">
        <v>1501</v>
      </c>
      <c r="I211" s="939" t="s">
        <v>1501</v>
      </c>
      <c r="J211" s="939" t="s">
        <v>1898</v>
      </c>
      <c r="K211" s="939" t="s">
        <v>475</v>
      </c>
      <c r="L211" s="1098"/>
    </row>
    <row r="212" spans="1:12" ht="39.6" x14ac:dyDescent="0.25">
      <c r="A212" s="893" t="s">
        <v>2207</v>
      </c>
      <c r="B212" s="886" t="s">
        <v>2208</v>
      </c>
      <c r="C212" s="886" t="s">
        <v>1648</v>
      </c>
      <c r="D212" s="939" t="s">
        <v>1501</v>
      </c>
      <c r="E212" s="939" t="s">
        <v>1501</v>
      </c>
      <c r="F212" s="939" t="s">
        <v>1501</v>
      </c>
      <c r="G212" s="939" t="s">
        <v>1501</v>
      </c>
      <c r="H212" s="939" t="s">
        <v>1501</v>
      </c>
      <c r="I212" s="939" t="s">
        <v>1501</v>
      </c>
      <c r="J212" s="939" t="s">
        <v>203</v>
      </c>
      <c r="K212" s="939" t="s">
        <v>20</v>
      </c>
      <c r="L212" s="927" t="s">
        <v>2209</v>
      </c>
    </row>
    <row r="213" spans="1:12" ht="39.6" x14ac:dyDescent="0.25">
      <c r="A213" s="893" t="s">
        <v>2210</v>
      </c>
      <c r="B213" s="886" t="s">
        <v>2211</v>
      </c>
      <c r="C213" s="886" t="s">
        <v>1648</v>
      </c>
      <c r="D213" s="939" t="s">
        <v>1501</v>
      </c>
      <c r="E213" s="939" t="s">
        <v>1501</v>
      </c>
      <c r="F213" s="939" t="s">
        <v>1501</v>
      </c>
      <c r="G213" s="939" t="s">
        <v>1501</v>
      </c>
      <c r="H213" s="939" t="s">
        <v>1501</v>
      </c>
      <c r="I213" s="939" t="s">
        <v>1501</v>
      </c>
      <c r="J213" s="939" t="s">
        <v>200</v>
      </c>
      <c r="K213" s="939" t="s">
        <v>1501</v>
      </c>
      <c r="L213" s="953" t="s">
        <v>2212</v>
      </c>
    </row>
    <row r="214" spans="1:12" ht="52.8" x14ac:dyDescent="0.25">
      <c r="A214" s="905" t="s">
        <v>2213</v>
      </c>
      <c r="B214" s="886" t="s">
        <v>2214</v>
      </c>
      <c r="C214" s="886" t="s">
        <v>1648</v>
      </c>
      <c r="D214" s="939" t="s">
        <v>1501</v>
      </c>
      <c r="E214" s="939" t="s">
        <v>1501</v>
      </c>
      <c r="F214" s="939" t="s">
        <v>1501</v>
      </c>
      <c r="G214" s="939" t="s">
        <v>1501</v>
      </c>
      <c r="H214" s="939" t="s">
        <v>1501</v>
      </c>
      <c r="I214" s="939" t="s">
        <v>1501</v>
      </c>
      <c r="J214" s="939" t="s">
        <v>200</v>
      </c>
      <c r="K214" s="939" t="s">
        <v>1501</v>
      </c>
      <c r="L214" s="927" t="s">
        <v>2215</v>
      </c>
    </row>
    <row r="215" spans="1:12" ht="26.4" x14ac:dyDescent="0.25">
      <c r="A215" s="893" t="s">
        <v>2216</v>
      </c>
      <c r="B215" s="886" t="s">
        <v>2217</v>
      </c>
      <c r="C215" s="886" t="s">
        <v>2218</v>
      </c>
      <c r="D215" s="939" t="s">
        <v>1501</v>
      </c>
      <c r="E215" s="939" t="s">
        <v>1501</v>
      </c>
      <c r="F215" s="939" t="s">
        <v>1501</v>
      </c>
      <c r="G215" s="939" t="s">
        <v>1501</v>
      </c>
      <c r="H215" s="939" t="s">
        <v>1501</v>
      </c>
      <c r="I215" s="939" t="s">
        <v>1501</v>
      </c>
      <c r="J215" s="939" t="s">
        <v>1652</v>
      </c>
      <c r="K215" s="939" t="s">
        <v>1501</v>
      </c>
      <c r="L215" s="927" t="s">
        <v>2219</v>
      </c>
    </row>
    <row r="216" spans="1:12" ht="40.950000000000003" customHeight="1" x14ac:dyDescent="0.25">
      <c r="A216" s="893" t="s">
        <v>2220</v>
      </c>
      <c r="B216" s="886" t="s">
        <v>2221</v>
      </c>
      <c r="C216" s="886" t="s">
        <v>2222</v>
      </c>
      <c r="D216" s="939" t="s">
        <v>1501</v>
      </c>
      <c r="E216" s="939" t="s">
        <v>1501</v>
      </c>
      <c r="F216" s="939" t="s">
        <v>1501</v>
      </c>
      <c r="G216" s="939" t="s">
        <v>1501</v>
      </c>
      <c r="H216" s="939" t="s">
        <v>1501</v>
      </c>
      <c r="I216" s="939" t="s">
        <v>1501</v>
      </c>
      <c r="J216" s="939" t="s">
        <v>1652</v>
      </c>
      <c r="K216" s="939" t="s">
        <v>1501</v>
      </c>
      <c r="L216" s="953" t="s">
        <v>2223</v>
      </c>
    </row>
    <row r="217" spans="1:12" ht="52.8" x14ac:dyDescent="0.25">
      <c r="A217" s="893" t="s">
        <v>2224</v>
      </c>
      <c r="B217" s="895" t="s">
        <v>2225</v>
      </c>
      <c r="C217" s="886" t="s">
        <v>1648</v>
      </c>
      <c r="D217" s="939" t="s">
        <v>1501</v>
      </c>
      <c r="E217" s="939" t="s">
        <v>1501</v>
      </c>
      <c r="F217" s="939" t="s">
        <v>1501</v>
      </c>
      <c r="G217" s="939" t="s">
        <v>1501</v>
      </c>
      <c r="H217" s="939" t="s">
        <v>1501</v>
      </c>
      <c r="I217" s="939" t="s">
        <v>1501</v>
      </c>
      <c r="J217" s="939" t="s">
        <v>200</v>
      </c>
      <c r="K217" s="939" t="s">
        <v>1501</v>
      </c>
      <c r="L217" s="953" t="s">
        <v>2226</v>
      </c>
    </row>
    <row r="218" spans="1:12" ht="52.8" x14ac:dyDescent="0.25">
      <c r="A218" s="893" t="s">
        <v>2227</v>
      </c>
      <c r="B218" s="895" t="s">
        <v>2228</v>
      </c>
      <c r="C218" s="886" t="s">
        <v>2218</v>
      </c>
      <c r="D218" s="939" t="s">
        <v>1501</v>
      </c>
      <c r="E218" s="939" t="s">
        <v>1501</v>
      </c>
      <c r="F218" s="939" t="s">
        <v>1501</v>
      </c>
      <c r="G218" s="939" t="s">
        <v>1501</v>
      </c>
      <c r="H218" s="939" t="s">
        <v>1501</v>
      </c>
      <c r="I218" s="939" t="s">
        <v>1501</v>
      </c>
      <c r="J218" s="939" t="s">
        <v>1652</v>
      </c>
      <c r="K218" s="939" t="s">
        <v>1501</v>
      </c>
      <c r="L218" s="927" t="s">
        <v>2229</v>
      </c>
    </row>
    <row r="219" spans="1:12" ht="39.6" x14ac:dyDescent="0.25">
      <c r="A219" s="893" t="s">
        <v>2230</v>
      </c>
      <c r="B219" s="895" t="s">
        <v>2231</v>
      </c>
      <c r="C219" s="886" t="s">
        <v>2218</v>
      </c>
      <c r="D219" s="939" t="s">
        <v>1501</v>
      </c>
      <c r="E219" s="939" t="s">
        <v>1501</v>
      </c>
      <c r="F219" s="939" t="s">
        <v>1501</v>
      </c>
      <c r="G219" s="939" t="s">
        <v>1501</v>
      </c>
      <c r="H219" s="939" t="s">
        <v>1501</v>
      </c>
      <c r="I219" s="939" t="s">
        <v>1501</v>
      </c>
      <c r="J219" s="939" t="s">
        <v>1652</v>
      </c>
      <c r="K219" s="939" t="s">
        <v>1501</v>
      </c>
      <c r="L219" s="955" t="s">
        <v>2467</v>
      </c>
    </row>
    <row r="220" spans="1:12" ht="39.6" x14ac:dyDescent="0.25">
      <c r="A220" s="893" t="s">
        <v>2232</v>
      </c>
      <c r="B220" s="895" t="s">
        <v>2233</v>
      </c>
      <c r="C220" s="886" t="s">
        <v>2234</v>
      </c>
      <c r="D220" s="939" t="s">
        <v>1501</v>
      </c>
      <c r="E220" s="939" t="s">
        <v>1501</v>
      </c>
      <c r="F220" s="939" t="s">
        <v>1501</v>
      </c>
      <c r="G220" s="939" t="s">
        <v>1501</v>
      </c>
      <c r="H220" s="939" t="s">
        <v>1777</v>
      </c>
      <c r="I220" s="939" t="s">
        <v>1501</v>
      </c>
      <c r="J220" s="939" t="s">
        <v>1501</v>
      </c>
      <c r="K220" s="939" t="s">
        <v>1501</v>
      </c>
      <c r="L220" s="927" t="s">
        <v>2235</v>
      </c>
    </row>
    <row r="221" spans="1:12" ht="39.6" x14ac:dyDescent="0.25">
      <c r="A221" s="893" t="s">
        <v>2232</v>
      </c>
      <c r="B221" s="895" t="s">
        <v>2233</v>
      </c>
      <c r="C221" s="886" t="s">
        <v>2236</v>
      </c>
      <c r="D221" s="939" t="s">
        <v>1501</v>
      </c>
      <c r="E221" s="939" t="s">
        <v>1501</v>
      </c>
      <c r="F221" s="939" t="s">
        <v>1501</v>
      </c>
      <c r="G221" s="939" t="s">
        <v>1501</v>
      </c>
      <c r="H221" s="939" t="s">
        <v>1501</v>
      </c>
      <c r="I221" s="939" t="s">
        <v>1501</v>
      </c>
      <c r="J221" s="939" t="s">
        <v>1652</v>
      </c>
      <c r="K221" s="939" t="s">
        <v>1501</v>
      </c>
      <c r="L221" s="927" t="s">
        <v>2237</v>
      </c>
    </row>
    <row r="222" spans="1:12" ht="39.6" x14ac:dyDescent="0.25">
      <c r="A222" s="893" t="s">
        <v>2238</v>
      </c>
      <c r="B222" s="895" t="s">
        <v>2239</v>
      </c>
      <c r="C222" s="886" t="s">
        <v>2218</v>
      </c>
      <c r="D222" s="939" t="s">
        <v>1501</v>
      </c>
      <c r="E222" s="939" t="s">
        <v>1501</v>
      </c>
      <c r="F222" s="939" t="s">
        <v>1501</v>
      </c>
      <c r="G222" s="939" t="s">
        <v>1501</v>
      </c>
      <c r="H222" s="939" t="s">
        <v>1501</v>
      </c>
      <c r="I222" s="939" t="s">
        <v>1501</v>
      </c>
      <c r="J222" s="939" t="s">
        <v>1652</v>
      </c>
      <c r="K222" s="939" t="s">
        <v>1501</v>
      </c>
      <c r="L222" s="927" t="s">
        <v>2240</v>
      </c>
    </row>
    <row r="223" spans="1:12" ht="26.4" x14ac:dyDescent="0.25">
      <c r="A223" s="893" t="s">
        <v>2241</v>
      </c>
      <c r="B223" s="886" t="s">
        <v>2242</v>
      </c>
      <c r="C223" s="886" t="s">
        <v>2243</v>
      </c>
      <c r="D223" s="939" t="s">
        <v>1501</v>
      </c>
      <c r="E223" s="939" t="s">
        <v>1501</v>
      </c>
      <c r="F223" s="939" t="s">
        <v>1501</v>
      </c>
      <c r="G223" s="939" t="s">
        <v>1501</v>
      </c>
      <c r="H223" s="939" t="s">
        <v>1501</v>
      </c>
      <c r="I223" s="939" t="s">
        <v>1501</v>
      </c>
      <c r="J223" s="939" t="s">
        <v>16</v>
      </c>
      <c r="K223" s="939" t="s">
        <v>1501</v>
      </c>
      <c r="L223" s="927" t="s">
        <v>2244</v>
      </c>
    </row>
    <row r="224" spans="1:12" ht="26.4" x14ac:dyDescent="0.25">
      <c r="A224" s="893" t="s">
        <v>2245</v>
      </c>
      <c r="B224" s="886" t="s">
        <v>2246</v>
      </c>
      <c r="C224" s="886" t="s">
        <v>2247</v>
      </c>
      <c r="D224" s="939" t="s">
        <v>1501</v>
      </c>
      <c r="E224" s="939" t="s">
        <v>1501</v>
      </c>
      <c r="F224" s="939" t="s">
        <v>1501</v>
      </c>
      <c r="G224" s="939" t="s">
        <v>1501</v>
      </c>
      <c r="H224" s="939" t="s">
        <v>1501</v>
      </c>
      <c r="I224" s="939" t="s">
        <v>1501</v>
      </c>
      <c r="J224" s="939" t="s">
        <v>1962</v>
      </c>
      <c r="K224" s="939" t="s">
        <v>1501</v>
      </c>
      <c r="L224" s="927" t="s">
        <v>2248</v>
      </c>
    </row>
    <row r="225" spans="1:12" x14ac:dyDescent="0.25">
      <c r="A225" s="1093" t="s">
        <v>2249</v>
      </c>
      <c r="B225" s="1094"/>
      <c r="C225" s="1094"/>
      <c r="D225" s="1094"/>
      <c r="E225" s="1094"/>
      <c r="F225" s="1094"/>
      <c r="G225" s="1094"/>
      <c r="H225" s="1094"/>
      <c r="I225" s="1094"/>
      <c r="J225" s="1094"/>
      <c r="K225" s="1094"/>
      <c r="L225" s="1095"/>
    </row>
    <row r="226" spans="1:12" ht="76.5" customHeight="1" x14ac:dyDescent="0.25">
      <c r="A226" s="893" t="s">
        <v>1810</v>
      </c>
      <c r="B226" s="886" t="s">
        <v>2250</v>
      </c>
      <c r="C226" s="886" t="s">
        <v>2251</v>
      </c>
      <c r="D226" s="939" t="s">
        <v>1501</v>
      </c>
      <c r="E226" s="939" t="s">
        <v>1501</v>
      </c>
      <c r="F226" s="939" t="s">
        <v>1501</v>
      </c>
      <c r="G226" s="939" t="s">
        <v>1501</v>
      </c>
      <c r="H226" s="939" t="s">
        <v>1501</v>
      </c>
      <c r="I226" s="939" t="s">
        <v>1501</v>
      </c>
      <c r="J226" s="939" t="s">
        <v>1652</v>
      </c>
      <c r="K226" s="939" t="s">
        <v>1501</v>
      </c>
      <c r="L226" s="927" t="s">
        <v>2252</v>
      </c>
    </row>
    <row r="227" spans="1:12" x14ac:dyDescent="0.25">
      <c r="A227" s="1097" t="s">
        <v>2253</v>
      </c>
      <c r="B227" s="1094"/>
      <c r="C227" s="1094"/>
      <c r="D227" s="1094"/>
      <c r="E227" s="1094"/>
      <c r="F227" s="1094"/>
      <c r="G227" s="1094"/>
      <c r="H227" s="1094"/>
      <c r="I227" s="1094"/>
      <c r="J227" s="1094"/>
      <c r="K227" s="1094"/>
      <c r="L227" s="1095"/>
    </row>
    <row r="228" spans="1:12" ht="41.25" customHeight="1" x14ac:dyDescent="0.25">
      <c r="A228" s="1102" t="s">
        <v>2092</v>
      </c>
      <c r="B228" s="1103" t="s">
        <v>2254</v>
      </c>
      <c r="C228" s="886" t="s">
        <v>2255</v>
      </c>
      <c r="D228" s="939" t="s">
        <v>1501</v>
      </c>
      <c r="E228" s="939" t="s">
        <v>1501</v>
      </c>
      <c r="F228" s="939" t="s">
        <v>1501</v>
      </c>
      <c r="G228" s="939" t="s">
        <v>1501</v>
      </c>
      <c r="H228" s="939" t="s">
        <v>189</v>
      </c>
      <c r="I228" s="939" t="s">
        <v>1501</v>
      </c>
      <c r="J228" s="939" t="s">
        <v>189</v>
      </c>
      <c r="K228" s="939" t="s">
        <v>2052</v>
      </c>
      <c r="L228" s="1098" t="s">
        <v>1518</v>
      </c>
    </row>
    <row r="229" spans="1:12" ht="45" customHeight="1" x14ac:dyDescent="0.25">
      <c r="A229" s="1102"/>
      <c r="B229" s="1103"/>
      <c r="C229" s="891" t="s">
        <v>2256</v>
      </c>
      <c r="D229" s="894" t="s">
        <v>1501</v>
      </c>
      <c r="E229" s="894" t="s">
        <v>1501</v>
      </c>
      <c r="F229" s="894" t="s">
        <v>1501</v>
      </c>
      <c r="G229" s="894" t="s">
        <v>1501</v>
      </c>
      <c r="H229" s="894" t="s">
        <v>1724</v>
      </c>
      <c r="I229" s="894" t="s">
        <v>1501</v>
      </c>
      <c r="J229" s="939" t="s">
        <v>1724</v>
      </c>
      <c r="K229" s="939" t="s">
        <v>2052</v>
      </c>
      <c r="L229" s="1098"/>
    </row>
    <row r="230" spans="1:12" s="872" customFormat="1" ht="27" customHeight="1" x14ac:dyDescent="0.25">
      <c r="A230" s="890" t="s">
        <v>2257</v>
      </c>
      <c r="B230" s="911" t="s">
        <v>2258</v>
      </c>
      <c r="C230" s="891" t="s">
        <v>2259</v>
      </c>
      <c r="D230" s="894" t="s">
        <v>1501</v>
      </c>
      <c r="E230" s="894" t="s">
        <v>1501</v>
      </c>
      <c r="F230" s="894" t="s">
        <v>1501</v>
      </c>
      <c r="G230" s="894" t="s">
        <v>1501</v>
      </c>
      <c r="H230" s="894" t="s">
        <v>16</v>
      </c>
      <c r="I230" s="894" t="s">
        <v>1501</v>
      </c>
      <c r="J230" s="894" t="s">
        <v>16</v>
      </c>
      <c r="K230" s="894" t="s">
        <v>2052</v>
      </c>
      <c r="L230" s="1098"/>
    </row>
    <row r="231" spans="1:12" s="872" customFormat="1" ht="32.25" customHeight="1" x14ac:dyDescent="0.25">
      <c r="A231" s="1105" t="s">
        <v>2260</v>
      </c>
      <c r="B231" s="1106" t="s">
        <v>2261</v>
      </c>
      <c r="C231" s="891" t="s">
        <v>2262</v>
      </c>
      <c r="D231" s="894" t="s">
        <v>1501</v>
      </c>
      <c r="E231" s="894" t="s">
        <v>1501</v>
      </c>
      <c r="F231" s="894" t="s">
        <v>1501</v>
      </c>
      <c r="G231" s="894" t="s">
        <v>1501</v>
      </c>
      <c r="H231" s="894" t="s">
        <v>1501</v>
      </c>
      <c r="I231" s="894" t="s">
        <v>1501</v>
      </c>
      <c r="J231" s="894" t="s">
        <v>1950</v>
      </c>
      <c r="K231" s="894" t="s">
        <v>2052</v>
      </c>
      <c r="L231" s="1098"/>
    </row>
    <row r="232" spans="1:12" s="872" customFormat="1" ht="40.5" customHeight="1" x14ac:dyDescent="0.25">
      <c r="A232" s="1105"/>
      <c r="B232" s="1106"/>
      <c r="C232" s="891" t="s">
        <v>2263</v>
      </c>
      <c r="D232" s="894" t="s">
        <v>1501</v>
      </c>
      <c r="E232" s="894" t="s">
        <v>1501</v>
      </c>
      <c r="F232" s="894" t="s">
        <v>1501</v>
      </c>
      <c r="G232" s="894" t="s">
        <v>1501</v>
      </c>
      <c r="H232" s="894" t="s">
        <v>1501</v>
      </c>
      <c r="I232" s="894" t="s">
        <v>1501</v>
      </c>
      <c r="J232" s="894" t="s">
        <v>203</v>
      </c>
      <c r="K232" s="894" t="s">
        <v>2052</v>
      </c>
      <c r="L232" s="1098"/>
    </row>
    <row r="233" spans="1:12" s="872" customFormat="1" ht="39.6" x14ac:dyDescent="0.25">
      <c r="A233" s="890" t="s">
        <v>2264</v>
      </c>
      <c r="B233" s="891" t="s">
        <v>2265</v>
      </c>
      <c r="C233" s="891" t="s">
        <v>2266</v>
      </c>
      <c r="D233" s="894" t="s">
        <v>1501</v>
      </c>
      <c r="E233" s="894" t="s">
        <v>1501</v>
      </c>
      <c r="F233" s="894" t="s">
        <v>1501</v>
      </c>
      <c r="G233" s="894" t="s">
        <v>1501</v>
      </c>
      <c r="H233" s="894" t="s">
        <v>17</v>
      </c>
      <c r="I233" s="894" t="s">
        <v>1501</v>
      </c>
      <c r="J233" s="894" t="s">
        <v>17</v>
      </c>
      <c r="K233" s="894" t="s">
        <v>2052</v>
      </c>
      <c r="L233" s="1098"/>
    </row>
    <row r="234" spans="1:12" x14ac:dyDescent="0.25">
      <c r="A234" s="1090" t="s">
        <v>2267</v>
      </c>
      <c r="B234" s="1091"/>
      <c r="C234" s="1091"/>
      <c r="D234" s="1091"/>
      <c r="E234" s="1091"/>
      <c r="F234" s="1091"/>
      <c r="G234" s="1091"/>
      <c r="H234" s="1091"/>
      <c r="I234" s="1091"/>
      <c r="J234" s="1091"/>
      <c r="K234" s="1091"/>
      <c r="L234" s="1092"/>
    </row>
    <row r="235" spans="1:12" s="872" customFormat="1" ht="105.6" x14ac:dyDescent="0.25">
      <c r="A235" s="890" t="s">
        <v>1689</v>
      </c>
      <c r="B235" s="891" t="s">
        <v>2268</v>
      </c>
      <c r="C235" s="891" t="s">
        <v>2269</v>
      </c>
      <c r="D235" s="894" t="s">
        <v>1501</v>
      </c>
      <c r="E235" s="894" t="s">
        <v>1501</v>
      </c>
      <c r="F235" s="894" t="s">
        <v>1501</v>
      </c>
      <c r="G235" s="894" t="s">
        <v>1501</v>
      </c>
      <c r="H235" s="894" t="s">
        <v>2270</v>
      </c>
      <c r="I235" s="894" t="s">
        <v>2271</v>
      </c>
      <c r="J235" s="894" t="s">
        <v>2272</v>
      </c>
      <c r="K235" s="894" t="s">
        <v>2273</v>
      </c>
      <c r="L235" s="927" t="s">
        <v>2274</v>
      </c>
    </row>
    <row r="236" spans="1:12" x14ac:dyDescent="0.25">
      <c r="A236" s="1096" t="s">
        <v>2275</v>
      </c>
      <c r="B236" s="1091"/>
      <c r="C236" s="1091"/>
      <c r="D236" s="1091"/>
      <c r="E236" s="1091"/>
      <c r="F236" s="1091"/>
      <c r="G236" s="1091"/>
      <c r="H236" s="1091"/>
      <c r="I236" s="1091"/>
      <c r="J236" s="1091"/>
      <c r="K236" s="1091"/>
      <c r="L236" s="1092"/>
    </row>
    <row r="237" spans="1:12" s="872" customFormat="1" ht="66" x14ac:dyDescent="0.25">
      <c r="A237" s="890" t="s">
        <v>2276</v>
      </c>
      <c r="B237" s="891" t="s">
        <v>2277</v>
      </c>
      <c r="C237" s="891" t="s">
        <v>2278</v>
      </c>
      <c r="D237" s="894" t="s">
        <v>1501</v>
      </c>
      <c r="E237" s="894" t="s">
        <v>1501</v>
      </c>
      <c r="F237" s="894" t="s">
        <v>1501</v>
      </c>
      <c r="G237" s="894" t="s">
        <v>1501</v>
      </c>
      <c r="H237" s="894" t="s">
        <v>1501</v>
      </c>
      <c r="I237" s="894" t="s">
        <v>1501</v>
      </c>
      <c r="J237" s="894" t="s">
        <v>1605</v>
      </c>
      <c r="K237" s="894" t="s">
        <v>31</v>
      </c>
      <c r="L237" s="927" t="s">
        <v>2279</v>
      </c>
    </row>
    <row r="238" spans="1:12" x14ac:dyDescent="0.25">
      <c r="A238" s="1090" t="s">
        <v>2280</v>
      </c>
      <c r="B238" s="1091"/>
      <c r="C238" s="1091"/>
      <c r="D238" s="1091"/>
      <c r="E238" s="1091"/>
      <c r="F238" s="1091"/>
      <c r="G238" s="1091"/>
      <c r="H238" s="1091"/>
      <c r="I238" s="1091"/>
      <c r="J238" s="1091"/>
      <c r="K238" s="1091"/>
      <c r="L238" s="1092"/>
    </row>
    <row r="239" spans="1:12" x14ac:dyDescent="0.25">
      <c r="A239" s="1110" t="s">
        <v>2281</v>
      </c>
      <c r="B239" s="1111"/>
      <c r="C239" s="1111"/>
      <c r="D239" s="1111"/>
      <c r="E239" s="1111"/>
      <c r="F239" s="1111"/>
      <c r="G239" s="1111"/>
      <c r="H239" s="1111"/>
      <c r="I239" s="1111"/>
      <c r="J239" s="1111"/>
      <c r="K239" s="1111"/>
      <c r="L239" s="1112"/>
    </row>
    <row r="240" spans="1:12" s="881" customFormat="1" ht="52.8" x14ac:dyDescent="0.25">
      <c r="A240" s="912" t="s">
        <v>1498</v>
      </c>
      <c r="B240" s="913" t="s">
        <v>2282</v>
      </c>
      <c r="C240" s="913" t="s">
        <v>2283</v>
      </c>
      <c r="D240" s="948" t="s">
        <v>1501</v>
      </c>
      <c r="E240" s="948" t="s">
        <v>2284</v>
      </c>
      <c r="F240" s="948" t="s">
        <v>1501</v>
      </c>
      <c r="G240" s="948" t="s">
        <v>2285</v>
      </c>
      <c r="H240" s="948" t="s">
        <v>1501</v>
      </c>
      <c r="I240" s="948" t="s">
        <v>2285</v>
      </c>
      <c r="J240" s="948" t="s">
        <v>1724</v>
      </c>
      <c r="K240" s="948" t="s">
        <v>2286</v>
      </c>
      <c r="L240" s="934" t="s">
        <v>2287</v>
      </c>
    </row>
    <row r="241" spans="1:12" x14ac:dyDescent="0.25">
      <c r="A241" s="1113" t="s">
        <v>2288</v>
      </c>
      <c r="B241" s="1114"/>
      <c r="C241" s="1114"/>
      <c r="D241" s="1114"/>
      <c r="E241" s="1114"/>
      <c r="F241" s="1114"/>
      <c r="G241" s="1114"/>
      <c r="H241" s="1114"/>
      <c r="I241" s="1114"/>
      <c r="J241" s="1114"/>
      <c r="K241" s="1114"/>
      <c r="L241" s="1115"/>
    </row>
    <row r="242" spans="1:12" ht="56.25" customHeight="1" x14ac:dyDescent="0.25">
      <c r="A242" s="1116" t="s">
        <v>1504</v>
      </c>
      <c r="B242" s="1103" t="s">
        <v>2289</v>
      </c>
      <c r="C242" s="886" t="s">
        <v>2290</v>
      </c>
      <c r="D242" s="894" t="s">
        <v>1501</v>
      </c>
      <c r="E242" s="894" t="s">
        <v>1501</v>
      </c>
      <c r="F242" s="894" t="s">
        <v>1961</v>
      </c>
      <c r="G242" s="894" t="s">
        <v>1501</v>
      </c>
      <c r="H242" s="894" t="s">
        <v>1898</v>
      </c>
      <c r="I242" s="894" t="s">
        <v>2291</v>
      </c>
      <c r="J242" s="894" t="s">
        <v>1529</v>
      </c>
      <c r="K242" s="894" t="s">
        <v>2292</v>
      </c>
      <c r="L242" s="953" t="s">
        <v>2293</v>
      </c>
    </row>
    <row r="243" spans="1:12" ht="171.6" x14ac:dyDescent="0.25">
      <c r="A243" s="1116"/>
      <c r="B243" s="1103"/>
      <c r="C243" s="886" t="s">
        <v>2294</v>
      </c>
      <c r="D243" s="894" t="s">
        <v>1501</v>
      </c>
      <c r="E243" s="894" t="s">
        <v>1501</v>
      </c>
      <c r="F243" s="894" t="s">
        <v>1898</v>
      </c>
      <c r="G243" s="894" t="s">
        <v>2295</v>
      </c>
      <c r="H243" s="894" t="s">
        <v>1722</v>
      </c>
      <c r="I243" s="894" t="s">
        <v>2295</v>
      </c>
      <c r="J243" s="894" t="s">
        <v>2296</v>
      </c>
      <c r="K243" s="894" t="s">
        <v>2297</v>
      </c>
      <c r="L243" s="927" t="s">
        <v>2298</v>
      </c>
    </row>
    <row r="244" spans="1:12" x14ac:dyDescent="0.25">
      <c r="A244" s="1090" t="s">
        <v>2299</v>
      </c>
      <c r="B244" s="1091"/>
      <c r="C244" s="1091"/>
      <c r="D244" s="1091"/>
      <c r="E244" s="1091"/>
      <c r="F244" s="1091"/>
      <c r="G244" s="1091"/>
      <c r="H244" s="1091"/>
      <c r="I244" s="1091"/>
      <c r="J244" s="1091"/>
      <c r="K244" s="1091"/>
      <c r="L244" s="1092"/>
    </row>
    <row r="245" spans="1:12" x14ac:dyDescent="0.25">
      <c r="A245" s="1097" t="s">
        <v>2300</v>
      </c>
      <c r="B245" s="1094"/>
      <c r="C245" s="1094"/>
      <c r="D245" s="1094"/>
      <c r="E245" s="1094"/>
      <c r="F245" s="1094"/>
      <c r="G245" s="1094"/>
      <c r="H245" s="1094"/>
      <c r="I245" s="1094"/>
      <c r="J245" s="1094"/>
      <c r="K245" s="1094"/>
      <c r="L245" s="1095"/>
    </row>
    <row r="246" spans="1:12" ht="66" x14ac:dyDescent="0.25">
      <c r="A246" s="885" t="s">
        <v>1504</v>
      </c>
      <c r="B246" s="886" t="s">
        <v>2301</v>
      </c>
      <c r="C246" s="886" t="s">
        <v>2302</v>
      </c>
      <c r="D246" s="894" t="s">
        <v>1501</v>
      </c>
      <c r="E246" s="894" t="s">
        <v>1501</v>
      </c>
      <c r="F246" s="894" t="s">
        <v>1501</v>
      </c>
      <c r="G246" s="894" t="s">
        <v>1501</v>
      </c>
      <c r="H246" s="894" t="s">
        <v>1501</v>
      </c>
      <c r="I246" s="894" t="s">
        <v>1501</v>
      </c>
      <c r="J246" s="894" t="s">
        <v>1466</v>
      </c>
      <c r="K246" s="894" t="s">
        <v>2303</v>
      </c>
      <c r="L246" s="927" t="s">
        <v>2304</v>
      </c>
    </row>
    <row r="247" spans="1:12" x14ac:dyDescent="0.25">
      <c r="A247" s="1097" t="s">
        <v>2305</v>
      </c>
      <c r="B247" s="1094"/>
      <c r="C247" s="1094"/>
      <c r="D247" s="1094"/>
      <c r="E247" s="1094"/>
      <c r="F247" s="1094"/>
      <c r="G247" s="1094"/>
      <c r="H247" s="1094"/>
      <c r="I247" s="1094"/>
      <c r="J247" s="1094"/>
      <c r="K247" s="1094"/>
      <c r="L247" s="1095"/>
    </row>
    <row r="248" spans="1:12" ht="52.8" x14ac:dyDescent="0.25">
      <c r="A248" s="893" t="s">
        <v>2306</v>
      </c>
      <c r="B248" s="886" t="s">
        <v>2307</v>
      </c>
      <c r="C248" s="886" t="s">
        <v>2308</v>
      </c>
      <c r="D248" s="894" t="s">
        <v>1501</v>
      </c>
      <c r="E248" s="894" t="s">
        <v>1501</v>
      </c>
      <c r="F248" s="894" t="s">
        <v>1501</v>
      </c>
      <c r="G248" s="894" t="s">
        <v>1501</v>
      </c>
      <c r="H248" s="939" t="s">
        <v>1777</v>
      </c>
      <c r="I248" s="939" t="s">
        <v>1501</v>
      </c>
      <c r="J248" s="939" t="s">
        <v>1501</v>
      </c>
      <c r="K248" s="939" t="s">
        <v>1501</v>
      </c>
      <c r="L248" s="927" t="s">
        <v>2304</v>
      </c>
    </row>
    <row r="249" spans="1:12" x14ac:dyDescent="0.25">
      <c r="A249" s="1097" t="s">
        <v>2309</v>
      </c>
      <c r="B249" s="1094"/>
      <c r="C249" s="1094"/>
      <c r="D249" s="1094"/>
      <c r="E249" s="1094"/>
      <c r="F249" s="1094"/>
      <c r="G249" s="1094"/>
      <c r="H249" s="1094"/>
      <c r="I249" s="1094"/>
      <c r="J249" s="1094"/>
      <c r="K249" s="1094"/>
      <c r="L249" s="1095"/>
    </row>
    <row r="250" spans="1:12" s="872" customFormat="1" ht="105.6" x14ac:dyDescent="0.25">
      <c r="A250" s="890" t="s">
        <v>2310</v>
      </c>
      <c r="B250" s="891" t="s">
        <v>2311</v>
      </c>
      <c r="C250" s="891" t="s">
        <v>2312</v>
      </c>
      <c r="D250" s="894" t="s">
        <v>1501</v>
      </c>
      <c r="E250" s="894" t="s">
        <v>1501</v>
      </c>
      <c r="F250" s="894" t="s">
        <v>1501</v>
      </c>
      <c r="G250" s="894" t="s">
        <v>1501</v>
      </c>
      <c r="H250" s="894" t="s">
        <v>1501</v>
      </c>
      <c r="I250" s="894" t="s">
        <v>1501</v>
      </c>
      <c r="J250" s="894" t="s">
        <v>17</v>
      </c>
      <c r="K250" s="894" t="s">
        <v>1501</v>
      </c>
      <c r="L250" s="927" t="s">
        <v>2304</v>
      </c>
    </row>
    <row r="251" spans="1:12" x14ac:dyDescent="0.25">
      <c r="A251" s="1097" t="s">
        <v>2313</v>
      </c>
      <c r="B251" s="1094"/>
      <c r="C251" s="1094"/>
      <c r="D251" s="1094"/>
      <c r="E251" s="1094"/>
      <c r="F251" s="1094"/>
      <c r="G251" s="1094"/>
      <c r="H251" s="1094"/>
      <c r="I251" s="1094"/>
      <c r="J251" s="1094"/>
      <c r="K251" s="1094"/>
      <c r="L251" s="1095"/>
    </row>
    <row r="252" spans="1:12" s="872" customFormat="1" ht="105.6" x14ac:dyDescent="0.25">
      <c r="A252" s="890" t="s">
        <v>1498</v>
      </c>
      <c r="B252" s="891" t="s">
        <v>2314</v>
      </c>
      <c r="C252" s="891" t="s">
        <v>2315</v>
      </c>
      <c r="D252" s="894" t="s">
        <v>1501</v>
      </c>
      <c r="E252" s="894" t="s">
        <v>1501</v>
      </c>
      <c r="F252" s="894" t="s">
        <v>15</v>
      </c>
      <c r="G252" s="894" t="s">
        <v>15</v>
      </c>
      <c r="H252" s="894" t="s">
        <v>16</v>
      </c>
      <c r="I252" s="894" t="s">
        <v>15</v>
      </c>
      <c r="J252" s="894" t="s">
        <v>2316</v>
      </c>
      <c r="K252" s="894" t="s">
        <v>15</v>
      </c>
      <c r="L252" s="927" t="s">
        <v>2317</v>
      </c>
    </row>
    <row r="253" spans="1:12" s="872" customFormat="1" ht="39.6" x14ac:dyDescent="0.25">
      <c r="A253" s="890" t="s">
        <v>2257</v>
      </c>
      <c r="B253" s="891" t="s">
        <v>2318</v>
      </c>
      <c r="C253" s="891" t="s">
        <v>2319</v>
      </c>
      <c r="D253" s="894" t="s">
        <v>1501</v>
      </c>
      <c r="E253" s="894" t="s">
        <v>1501</v>
      </c>
      <c r="F253" s="894" t="s">
        <v>2320</v>
      </c>
      <c r="G253" s="894" t="s">
        <v>1501</v>
      </c>
      <c r="H253" s="894" t="s">
        <v>1501</v>
      </c>
      <c r="I253" s="894" t="s">
        <v>1501</v>
      </c>
      <c r="J253" s="894" t="s">
        <v>1501</v>
      </c>
      <c r="K253" s="894" t="s">
        <v>1501</v>
      </c>
      <c r="L253" s="927" t="s">
        <v>2321</v>
      </c>
    </row>
    <row r="254" spans="1:12" x14ac:dyDescent="0.25">
      <c r="A254" s="1107" t="s">
        <v>2322</v>
      </c>
      <c r="B254" s="1108"/>
      <c r="C254" s="1108"/>
      <c r="D254" s="1108"/>
      <c r="E254" s="1108"/>
      <c r="F254" s="1108"/>
      <c r="G254" s="1108"/>
      <c r="H254" s="1108"/>
      <c r="I254" s="1108"/>
      <c r="J254" s="1108"/>
      <c r="K254" s="1108"/>
      <c r="L254" s="1109"/>
    </row>
    <row r="255" spans="1:12" s="882" customFormat="1" ht="25.5" customHeight="1" x14ac:dyDescent="0.25">
      <c r="A255" s="901" t="s">
        <v>1504</v>
      </c>
      <c r="B255" s="914" t="s">
        <v>2323</v>
      </c>
      <c r="C255" s="956" t="s">
        <v>2180</v>
      </c>
      <c r="D255" s="942" t="s">
        <v>203</v>
      </c>
      <c r="E255" s="942" t="s">
        <v>2324</v>
      </c>
      <c r="F255" s="942" t="s">
        <v>1962</v>
      </c>
      <c r="G255" s="942" t="s">
        <v>2325</v>
      </c>
      <c r="H255" s="942" t="s">
        <v>1529</v>
      </c>
      <c r="I255" s="942" t="s">
        <v>2326</v>
      </c>
      <c r="J255" s="942" t="s">
        <v>1466</v>
      </c>
      <c r="K255" s="942" t="s">
        <v>2327</v>
      </c>
      <c r="L255" s="931" t="s">
        <v>2328</v>
      </c>
    </row>
    <row r="256" spans="1:12" s="872" customFormat="1" ht="39.75" customHeight="1" x14ac:dyDescent="0.25">
      <c r="A256" s="890" t="s">
        <v>1814</v>
      </c>
      <c r="B256" s="891" t="s">
        <v>2329</v>
      </c>
      <c r="C256" s="891" t="s">
        <v>2180</v>
      </c>
      <c r="D256" s="894" t="s">
        <v>203</v>
      </c>
      <c r="E256" s="894" t="s">
        <v>1507</v>
      </c>
      <c r="F256" s="894" t="s">
        <v>2042</v>
      </c>
      <c r="G256" s="894" t="s">
        <v>2330</v>
      </c>
      <c r="H256" s="894" t="s">
        <v>1529</v>
      </c>
      <c r="I256" s="894" t="s">
        <v>2331</v>
      </c>
      <c r="J256" s="894" t="s">
        <v>1466</v>
      </c>
      <c r="K256" s="894" t="s">
        <v>2332</v>
      </c>
      <c r="L256" s="927" t="s">
        <v>2333</v>
      </c>
    </row>
    <row r="257" spans="1:12" s="872" customFormat="1" ht="66.75" customHeight="1" x14ac:dyDescent="0.25">
      <c r="A257" s="890" t="s">
        <v>2334</v>
      </c>
      <c r="B257" s="891" t="s">
        <v>2335</v>
      </c>
      <c r="C257" s="891" t="s">
        <v>2336</v>
      </c>
      <c r="D257" s="894" t="s">
        <v>1501</v>
      </c>
      <c r="E257" s="894" t="s">
        <v>1501</v>
      </c>
      <c r="F257" s="894" t="s">
        <v>1501</v>
      </c>
      <c r="G257" s="894" t="s">
        <v>1501</v>
      </c>
      <c r="H257" s="894" t="s">
        <v>1501</v>
      </c>
      <c r="I257" s="894" t="s">
        <v>1501</v>
      </c>
      <c r="J257" s="894" t="s">
        <v>2337</v>
      </c>
      <c r="K257" s="894" t="s">
        <v>1501</v>
      </c>
      <c r="L257" s="927" t="s">
        <v>2338</v>
      </c>
    </row>
    <row r="258" spans="1:12" s="872" customFormat="1" ht="92.4" x14ac:dyDescent="0.25">
      <c r="A258" s="1105" t="s">
        <v>2045</v>
      </c>
      <c r="B258" s="1106" t="s">
        <v>2339</v>
      </c>
      <c r="C258" s="891" t="s">
        <v>2340</v>
      </c>
      <c r="D258" s="894" t="s">
        <v>1501</v>
      </c>
      <c r="E258" s="894" t="s">
        <v>1501</v>
      </c>
      <c r="F258" s="894" t="s">
        <v>1501</v>
      </c>
      <c r="G258" s="894" t="s">
        <v>1501</v>
      </c>
      <c r="H258" s="894" t="s">
        <v>1777</v>
      </c>
      <c r="I258" s="894" t="s">
        <v>1501</v>
      </c>
      <c r="J258" s="894" t="s">
        <v>1501</v>
      </c>
      <c r="K258" s="894" t="s">
        <v>1501</v>
      </c>
      <c r="L258" s="953" t="s">
        <v>2341</v>
      </c>
    </row>
    <row r="259" spans="1:12" s="872" customFormat="1" ht="92.4" x14ac:dyDescent="0.25">
      <c r="A259" s="1105"/>
      <c r="B259" s="1106"/>
      <c r="C259" s="891" t="s">
        <v>2342</v>
      </c>
      <c r="D259" s="894" t="s">
        <v>1501</v>
      </c>
      <c r="E259" s="894" t="s">
        <v>1501</v>
      </c>
      <c r="F259" s="894" t="s">
        <v>1501</v>
      </c>
      <c r="G259" s="894" t="s">
        <v>1501</v>
      </c>
      <c r="H259" s="894" t="s">
        <v>1501</v>
      </c>
      <c r="I259" s="894" t="s">
        <v>1501</v>
      </c>
      <c r="J259" s="894" t="s">
        <v>1652</v>
      </c>
      <c r="K259" s="894" t="s">
        <v>1501</v>
      </c>
      <c r="L259" s="927" t="s">
        <v>2343</v>
      </c>
    </row>
    <row r="260" spans="1:12" x14ac:dyDescent="0.25">
      <c r="A260" s="1096" t="s">
        <v>2344</v>
      </c>
      <c r="B260" s="1091"/>
      <c r="C260" s="1091"/>
      <c r="D260" s="1091"/>
      <c r="E260" s="1091"/>
      <c r="F260" s="1091"/>
      <c r="G260" s="1091"/>
      <c r="H260" s="1091"/>
      <c r="I260" s="1091"/>
      <c r="J260" s="1091"/>
      <c r="K260" s="1091"/>
      <c r="L260" s="1092"/>
    </row>
    <row r="261" spans="1:12" x14ac:dyDescent="0.25">
      <c r="A261" s="1097" t="s">
        <v>2345</v>
      </c>
      <c r="B261" s="1094"/>
      <c r="C261" s="1094"/>
      <c r="D261" s="1094"/>
      <c r="E261" s="1094"/>
      <c r="F261" s="1094"/>
      <c r="G261" s="1094"/>
      <c r="H261" s="1094"/>
      <c r="I261" s="1094"/>
      <c r="J261" s="1094"/>
      <c r="K261" s="1094"/>
      <c r="L261" s="1095"/>
    </row>
    <row r="262" spans="1:12" s="877" customFormat="1" ht="52.8" x14ac:dyDescent="0.25">
      <c r="A262" s="915" t="s">
        <v>2346</v>
      </c>
      <c r="B262" s="909" t="s">
        <v>2347</v>
      </c>
      <c r="C262" s="909" t="s">
        <v>2348</v>
      </c>
      <c r="D262" s="946" t="s">
        <v>1501</v>
      </c>
      <c r="E262" s="946" t="s">
        <v>1501</v>
      </c>
      <c r="F262" s="946" t="s">
        <v>1501</v>
      </c>
      <c r="G262" s="946" t="s">
        <v>1501</v>
      </c>
      <c r="H262" s="946" t="s">
        <v>1501</v>
      </c>
      <c r="I262" s="946" t="s">
        <v>1501</v>
      </c>
      <c r="J262" s="946" t="s">
        <v>15</v>
      </c>
      <c r="K262" s="946" t="s">
        <v>1501</v>
      </c>
      <c r="L262" s="931" t="s">
        <v>2304</v>
      </c>
    </row>
    <row r="263" spans="1:12" x14ac:dyDescent="0.25">
      <c r="A263" s="1097" t="s">
        <v>2349</v>
      </c>
      <c r="B263" s="1094"/>
      <c r="C263" s="1094"/>
      <c r="D263" s="1094"/>
      <c r="E263" s="1094"/>
      <c r="F263" s="1094"/>
      <c r="G263" s="1094"/>
      <c r="H263" s="1094"/>
      <c r="I263" s="1094"/>
      <c r="J263" s="1094"/>
      <c r="K263" s="1094"/>
      <c r="L263" s="1095"/>
    </row>
    <row r="264" spans="1:12" s="872" customFormat="1" ht="79.2" x14ac:dyDescent="0.25">
      <c r="A264" s="890" t="s">
        <v>2350</v>
      </c>
      <c r="B264" s="891" t="s">
        <v>2351</v>
      </c>
      <c r="C264" s="891" t="s">
        <v>2352</v>
      </c>
      <c r="D264" s="894" t="s">
        <v>1501</v>
      </c>
      <c r="E264" s="894" t="s">
        <v>1501</v>
      </c>
      <c r="F264" s="894" t="s">
        <v>1501</v>
      </c>
      <c r="G264" s="894" t="s">
        <v>1501</v>
      </c>
      <c r="H264" s="894" t="s">
        <v>1501</v>
      </c>
      <c r="I264" s="894" t="s">
        <v>1501</v>
      </c>
      <c r="J264" s="894" t="s">
        <v>1710</v>
      </c>
      <c r="K264" s="894" t="s">
        <v>2052</v>
      </c>
      <c r="L264" s="927" t="s">
        <v>2353</v>
      </c>
    </row>
    <row r="265" spans="1:12" x14ac:dyDescent="0.25">
      <c r="A265" s="1090" t="s">
        <v>2354</v>
      </c>
      <c r="B265" s="1091"/>
      <c r="C265" s="1091"/>
      <c r="D265" s="1091"/>
      <c r="E265" s="1091"/>
      <c r="F265" s="1091"/>
      <c r="G265" s="1091"/>
      <c r="H265" s="1091"/>
      <c r="I265" s="1091"/>
      <c r="J265" s="1091"/>
      <c r="K265" s="1091"/>
      <c r="L265" s="1092"/>
    </row>
    <row r="266" spans="1:12" x14ac:dyDescent="0.25">
      <c r="A266" s="1097" t="s">
        <v>2355</v>
      </c>
      <c r="B266" s="1094"/>
      <c r="C266" s="1094"/>
      <c r="D266" s="1094"/>
      <c r="E266" s="1094"/>
      <c r="F266" s="1094"/>
      <c r="G266" s="1094"/>
      <c r="H266" s="1094"/>
      <c r="I266" s="1094"/>
      <c r="J266" s="1094"/>
      <c r="K266" s="1094"/>
      <c r="L266" s="1095"/>
    </row>
    <row r="267" spans="1:12" ht="132" x14ac:dyDescent="0.25">
      <c r="A267" s="893" t="s">
        <v>2159</v>
      </c>
      <c r="B267" s="886" t="s">
        <v>1317</v>
      </c>
      <c r="C267" s="886" t="s">
        <v>2356</v>
      </c>
      <c r="D267" s="939" t="s">
        <v>1466</v>
      </c>
      <c r="E267" s="939" t="s">
        <v>1466</v>
      </c>
      <c r="F267" s="939" t="s">
        <v>1466</v>
      </c>
      <c r="G267" s="939" t="s">
        <v>2357</v>
      </c>
      <c r="H267" s="939" t="s">
        <v>1466</v>
      </c>
      <c r="I267" s="894" t="s">
        <v>550</v>
      </c>
      <c r="J267" s="939" t="s">
        <v>1466</v>
      </c>
      <c r="K267" s="939" t="s">
        <v>2358</v>
      </c>
      <c r="L267" s="1098" t="s">
        <v>2359</v>
      </c>
    </row>
    <row r="268" spans="1:12" ht="15" hidden="1" customHeight="1" x14ac:dyDescent="0.25">
      <c r="A268" s="893"/>
      <c r="B268" s="894"/>
      <c r="C268" s="886"/>
      <c r="D268" s="939"/>
      <c r="E268" s="939"/>
      <c r="F268" s="939"/>
      <c r="G268" s="939"/>
      <c r="H268" s="939"/>
      <c r="I268" s="939"/>
      <c r="J268" s="939"/>
      <c r="K268" s="939"/>
      <c r="L268" s="1098"/>
    </row>
    <row r="269" spans="1:12" ht="118.8" x14ac:dyDescent="0.25">
      <c r="A269" s="893" t="s">
        <v>2360</v>
      </c>
      <c r="B269" s="886" t="s">
        <v>2361</v>
      </c>
      <c r="C269" s="886" t="s">
        <v>2362</v>
      </c>
      <c r="D269" s="939" t="s">
        <v>1501</v>
      </c>
      <c r="E269" s="939" t="s">
        <v>1501</v>
      </c>
      <c r="F269" s="939" t="s">
        <v>1466</v>
      </c>
      <c r="G269" s="939" t="s">
        <v>2272</v>
      </c>
      <c r="H269" s="939" t="s">
        <v>1466</v>
      </c>
      <c r="I269" s="939" t="s">
        <v>2272</v>
      </c>
      <c r="J269" s="939" t="s">
        <v>1466</v>
      </c>
      <c r="K269" s="939" t="s">
        <v>2363</v>
      </c>
      <c r="L269" s="1098"/>
    </row>
    <row r="270" spans="1:12" x14ac:dyDescent="0.25">
      <c r="A270" s="1097" t="s">
        <v>2364</v>
      </c>
      <c r="B270" s="1094"/>
      <c r="C270" s="1094"/>
      <c r="D270" s="1094"/>
      <c r="E270" s="1094"/>
      <c r="F270" s="1094"/>
      <c r="G270" s="1094"/>
      <c r="H270" s="1094"/>
      <c r="I270" s="1094"/>
      <c r="J270" s="1094"/>
      <c r="K270" s="1094"/>
      <c r="L270" s="1095"/>
    </row>
    <row r="271" spans="1:12" ht="79.2" x14ac:dyDescent="0.25">
      <c r="A271" s="893" t="s">
        <v>2365</v>
      </c>
      <c r="B271" s="886" t="s">
        <v>2366</v>
      </c>
      <c r="C271" s="886" t="s">
        <v>2367</v>
      </c>
      <c r="D271" s="939" t="s">
        <v>1501</v>
      </c>
      <c r="E271" s="939" t="s">
        <v>1501</v>
      </c>
      <c r="F271" s="939" t="s">
        <v>1501</v>
      </c>
      <c r="G271" s="939" t="s">
        <v>1501</v>
      </c>
      <c r="H271" s="939" t="s">
        <v>16</v>
      </c>
      <c r="I271" s="939" t="s">
        <v>15</v>
      </c>
      <c r="J271" s="939" t="s">
        <v>189</v>
      </c>
      <c r="K271" s="939" t="s">
        <v>16</v>
      </c>
      <c r="L271" s="927" t="s">
        <v>2368</v>
      </c>
    </row>
    <row r="272" spans="1:12" ht="60" customHeight="1" x14ac:dyDescent="0.25">
      <c r="A272" s="893" t="s">
        <v>2369</v>
      </c>
      <c r="B272" s="886" t="s">
        <v>2370</v>
      </c>
      <c r="C272" s="886" t="s">
        <v>2371</v>
      </c>
      <c r="D272" s="939" t="s">
        <v>1501</v>
      </c>
      <c r="E272" s="939" t="s">
        <v>1501</v>
      </c>
      <c r="F272" s="939" t="s">
        <v>1501</v>
      </c>
      <c r="G272" s="939" t="s">
        <v>1501</v>
      </c>
      <c r="H272" s="939" t="s">
        <v>1501</v>
      </c>
      <c r="I272" s="939" t="s">
        <v>1501</v>
      </c>
      <c r="J272" s="939" t="s">
        <v>2372</v>
      </c>
      <c r="K272" s="939" t="s">
        <v>1501</v>
      </c>
      <c r="L272" s="927" t="s">
        <v>2373</v>
      </c>
    </row>
    <row r="273" spans="1:12" x14ac:dyDescent="0.25">
      <c r="A273" s="1097" t="s">
        <v>2374</v>
      </c>
      <c r="B273" s="1094"/>
      <c r="C273" s="1094"/>
      <c r="D273" s="1094"/>
      <c r="E273" s="1094"/>
      <c r="F273" s="1094"/>
      <c r="G273" s="1094"/>
      <c r="H273" s="1094"/>
      <c r="I273" s="1094"/>
      <c r="J273" s="1094"/>
      <c r="K273" s="1094"/>
      <c r="L273" s="1095"/>
    </row>
    <row r="274" spans="1:12" ht="39.6" x14ac:dyDescent="0.25">
      <c r="A274" s="893" t="s">
        <v>1504</v>
      </c>
      <c r="B274" s="886" t="s">
        <v>1321</v>
      </c>
      <c r="C274" s="886" t="s">
        <v>2375</v>
      </c>
      <c r="D274" s="939" t="s">
        <v>15</v>
      </c>
      <c r="E274" s="939" t="s">
        <v>15</v>
      </c>
      <c r="F274" s="939" t="s">
        <v>16</v>
      </c>
      <c r="G274" s="939" t="s">
        <v>15</v>
      </c>
      <c r="H274" s="939" t="s">
        <v>200</v>
      </c>
      <c r="I274" s="939" t="s">
        <v>200</v>
      </c>
      <c r="J274" s="939" t="s">
        <v>201</v>
      </c>
      <c r="K274" s="939" t="s">
        <v>192</v>
      </c>
      <c r="L274" s="927" t="s">
        <v>2376</v>
      </c>
    </row>
    <row r="275" spans="1:12" ht="79.2" x14ac:dyDescent="0.25">
      <c r="A275" s="1102" t="s">
        <v>1508</v>
      </c>
      <c r="B275" s="1103" t="s">
        <v>2377</v>
      </c>
      <c r="C275" s="886" t="s">
        <v>2378</v>
      </c>
      <c r="D275" s="939" t="s">
        <v>15</v>
      </c>
      <c r="E275" s="939" t="s">
        <v>15</v>
      </c>
      <c r="F275" s="939" t="s">
        <v>16</v>
      </c>
      <c r="G275" s="939" t="s">
        <v>2379</v>
      </c>
      <c r="H275" s="939" t="s">
        <v>1898</v>
      </c>
      <c r="I275" s="939" t="s">
        <v>2380</v>
      </c>
      <c r="J275" s="939" t="s">
        <v>1466</v>
      </c>
      <c r="K275" s="939" t="s">
        <v>2381</v>
      </c>
      <c r="L275" s="1098" t="s">
        <v>2382</v>
      </c>
    </row>
    <row r="276" spans="1:12" ht="26.4" x14ac:dyDescent="0.25">
      <c r="A276" s="1102"/>
      <c r="B276" s="1103"/>
      <c r="C276" s="886" t="s">
        <v>2383</v>
      </c>
      <c r="D276" s="939" t="s">
        <v>1501</v>
      </c>
      <c r="E276" s="939" t="s">
        <v>1501</v>
      </c>
      <c r="F276" s="939" t="s">
        <v>1501</v>
      </c>
      <c r="G276" s="939" t="s">
        <v>1501</v>
      </c>
      <c r="H276" s="939" t="s">
        <v>1501</v>
      </c>
      <c r="I276" s="939" t="s">
        <v>1501</v>
      </c>
      <c r="J276" s="939" t="s">
        <v>18</v>
      </c>
      <c r="K276" s="939" t="s">
        <v>191</v>
      </c>
      <c r="L276" s="1098"/>
    </row>
    <row r="277" spans="1:12" hidden="1" x14ac:dyDescent="0.25">
      <c r="A277" s="893"/>
      <c r="B277" s="894"/>
      <c r="C277" s="886"/>
      <c r="D277" s="939"/>
      <c r="E277" s="939"/>
      <c r="F277" s="939"/>
      <c r="G277" s="939"/>
      <c r="H277" s="939"/>
      <c r="I277" s="939"/>
      <c r="J277" s="939"/>
      <c r="K277" s="939"/>
      <c r="L277" s="1098"/>
    </row>
    <row r="278" spans="1:12" hidden="1" x14ac:dyDescent="0.25">
      <c r="A278" s="893"/>
      <c r="B278" s="894"/>
      <c r="C278" s="886"/>
      <c r="D278" s="939"/>
      <c r="E278" s="939"/>
      <c r="F278" s="939"/>
      <c r="G278" s="939"/>
      <c r="H278" s="939"/>
      <c r="I278" s="939"/>
      <c r="J278" s="939"/>
      <c r="K278" s="939"/>
      <c r="L278" s="1098"/>
    </row>
    <row r="279" spans="1:12" hidden="1" x14ac:dyDescent="0.25">
      <c r="A279" s="893"/>
      <c r="B279" s="894"/>
      <c r="C279" s="886"/>
      <c r="D279" s="939"/>
      <c r="E279" s="939"/>
      <c r="F279" s="939"/>
      <c r="G279" s="939"/>
      <c r="H279" s="939"/>
      <c r="I279" s="939"/>
      <c r="J279" s="939"/>
      <c r="K279" s="939"/>
      <c r="L279" s="927"/>
    </row>
    <row r="280" spans="1:12" ht="66" x14ac:dyDescent="0.25">
      <c r="A280" s="893" t="s">
        <v>2384</v>
      </c>
      <c r="B280" s="886" t="s">
        <v>2385</v>
      </c>
      <c r="C280" s="886" t="s">
        <v>2386</v>
      </c>
      <c r="D280" s="939" t="s">
        <v>1501</v>
      </c>
      <c r="E280" s="939" t="s">
        <v>1501</v>
      </c>
      <c r="F280" s="939" t="s">
        <v>1501</v>
      </c>
      <c r="G280" s="939" t="s">
        <v>1501</v>
      </c>
      <c r="H280" s="939" t="s">
        <v>1501</v>
      </c>
      <c r="I280" s="939" t="s">
        <v>1501</v>
      </c>
      <c r="J280" s="939" t="s">
        <v>200</v>
      </c>
      <c r="K280" s="939" t="s">
        <v>189</v>
      </c>
      <c r="L280" s="927" t="s">
        <v>2387</v>
      </c>
    </row>
    <row r="281" spans="1:12" ht="15" customHeight="1" x14ac:dyDescent="0.25">
      <c r="A281" s="1097" t="s">
        <v>2388</v>
      </c>
      <c r="B281" s="1094"/>
      <c r="C281" s="1094"/>
      <c r="D281" s="1094"/>
      <c r="E281" s="1094"/>
      <c r="F281" s="1094"/>
      <c r="G281" s="1094"/>
      <c r="H281" s="1094"/>
      <c r="I281" s="1094"/>
      <c r="J281" s="1094"/>
      <c r="K281" s="1094"/>
      <c r="L281" s="1095"/>
    </row>
    <row r="282" spans="1:12" s="872" customFormat="1" ht="52.8" x14ac:dyDescent="0.25">
      <c r="A282" s="890" t="s">
        <v>1462</v>
      </c>
      <c r="B282" s="891" t="s">
        <v>2389</v>
      </c>
      <c r="C282" s="891" t="s">
        <v>2390</v>
      </c>
      <c r="D282" s="894" t="s">
        <v>1491</v>
      </c>
      <c r="E282" s="894" t="s">
        <v>450</v>
      </c>
      <c r="F282" s="894" t="s">
        <v>1465</v>
      </c>
      <c r="G282" s="894" t="s">
        <v>2391</v>
      </c>
      <c r="H282" s="894" t="s">
        <v>1974</v>
      </c>
      <c r="I282" s="894" t="s">
        <v>1854</v>
      </c>
      <c r="J282" s="894" t="s">
        <v>1950</v>
      </c>
      <c r="K282" s="894" t="s">
        <v>1470</v>
      </c>
      <c r="L282" s="927" t="s">
        <v>2304</v>
      </c>
    </row>
    <row r="283" spans="1:12" x14ac:dyDescent="0.25">
      <c r="A283" s="1090" t="s">
        <v>2392</v>
      </c>
      <c r="B283" s="1091"/>
      <c r="C283" s="1091"/>
      <c r="D283" s="1091"/>
      <c r="E283" s="1091"/>
      <c r="F283" s="1091"/>
      <c r="G283" s="1091"/>
      <c r="H283" s="1091"/>
      <c r="I283" s="1091"/>
      <c r="J283" s="1091"/>
      <c r="K283" s="1091"/>
      <c r="L283" s="1092"/>
    </row>
    <row r="284" spans="1:12" ht="50.25" customHeight="1" x14ac:dyDescent="0.25">
      <c r="A284" s="1102" t="s">
        <v>15</v>
      </c>
      <c r="B284" s="1103" t="s">
        <v>2393</v>
      </c>
      <c r="C284" s="886" t="s">
        <v>2394</v>
      </c>
      <c r="D284" s="939" t="s">
        <v>1501</v>
      </c>
      <c r="E284" s="939" t="s">
        <v>1501</v>
      </c>
      <c r="F284" s="939" t="s">
        <v>1501</v>
      </c>
      <c r="G284" s="939" t="s">
        <v>1501</v>
      </c>
      <c r="H284" s="939" t="s">
        <v>1501</v>
      </c>
      <c r="I284" s="939" t="s">
        <v>1501</v>
      </c>
      <c r="J284" s="939" t="s">
        <v>1898</v>
      </c>
      <c r="K284" s="939" t="s">
        <v>1962</v>
      </c>
      <c r="L284" s="927" t="s">
        <v>2395</v>
      </c>
    </row>
    <row r="285" spans="1:12" ht="40.049999999999997" customHeight="1" x14ac:dyDescent="0.25">
      <c r="A285" s="1102"/>
      <c r="B285" s="1103"/>
      <c r="C285" s="886" t="s">
        <v>2396</v>
      </c>
      <c r="D285" s="939" t="s">
        <v>1501</v>
      </c>
      <c r="E285" s="939" t="s">
        <v>1501</v>
      </c>
      <c r="F285" s="939" t="s">
        <v>1501</v>
      </c>
      <c r="G285" s="939" t="s">
        <v>1501</v>
      </c>
      <c r="H285" s="939" t="s">
        <v>1501</v>
      </c>
      <c r="I285" s="939" t="s">
        <v>1501</v>
      </c>
      <c r="J285" s="939" t="s">
        <v>2397</v>
      </c>
      <c r="K285" s="939" t="s">
        <v>1501</v>
      </c>
      <c r="L285" s="1098" t="s">
        <v>2304</v>
      </c>
    </row>
    <row r="286" spans="1:12" ht="55.5" customHeight="1" x14ac:dyDescent="0.25">
      <c r="A286" s="1102" t="s">
        <v>16</v>
      </c>
      <c r="B286" s="1103" t="s">
        <v>2398</v>
      </c>
      <c r="C286" s="886" t="s">
        <v>2399</v>
      </c>
      <c r="D286" s="939" t="s">
        <v>1501</v>
      </c>
      <c r="E286" s="939" t="s">
        <v>1501</v>
      </c>
      <c r="F286" s="939" t="s">
        <v>1501</v>
      </c>
      <c r="G286" s="939" t="s">
        <v>1501</v>
      </c>
      <c r="H286" s="939" t="s">
        <v>1501</v>
      </c>
      <c r="I286" s="939" t="s">
        <v>1501</v>
      </c>
      <c r="J286" s="939" t="s">
        <v>2400</v>
      </c>
      <c r="K286" s="939" t="s">
        <v>550</v>
      </c>
      <c r="L286" s="1104"/>
    </row>
    <row r="287" spans="1:12" ht="48" customHeight="1" x14ac:dyDescent="0.25">
      <c r="A287" s="1102"/>
      <c r="B287" s="1103"/>
      <c r="C287" s="886" t="s">
        <v>2396</v>
      </c>
      <c r="D287" s="939" t="s">
        <v>1501</v>
      </c>
      <c r="E287" s="939" t="s">
        <v>1501</v>
      </c>
      <c r="F287" s="939" t="s">
        <v>1501</v>
      </c>
      <c r="G287" s="939" t="s">
        <v>1501</v>
      </c>
      <c r="H287" s="939" t="s">
        <v>1501</v>
      </c>
      <c r="I287" s="939" t="s">
        <v>1501</v>
      </c>
      <c r="J287" s="939" t="s">
        <v>2397</v>
      </c>
      <c r="K287" s="939" t="s">
        <v>1501</v>
      </c>
      <c r="L287" s="1104"/>
    </row>
    <row r="288" spans="1:12" ht="66" x14ac:dyDescent="0.25">
      <c r="A288" s="893" t="s">
        <v>189</v>
      </c>
      <c r="B288" s="886" t="s">
        <v>2401</v>
      </c>
      <c r="C288" s="886" t="s">
        <v>2402</v>
      </c>
      <c r="D288" s="939" t="s">
        <v>1501</v>
      </c>
      <c r="E288" s="939" t="s">
        <v>1501</v>
      </c>
      <c r="F288" s="939" t="s">
        <v>1501</v>
      </c>
      <c r="G288" s="939" t="s">
        <v>1501</v>
      </c>
      <c r="H288" s="939" t="s">
        <v>1501</v>
      </c>
      <c r="I288" s="939" t="s">
        <v>1501</v>
      </c>
      <c r="J288" s="939" t="s">
        <v>1962</v>
      </c>
      <c r="K288" s="939" t="s">
        <v>1501</v>
      </c>
      <c r="L288" s="927" t="s">
        <v>2403</v>
      </c>
    </row>
    <row r="289" spans="1:12" ht="48.75" customHeight="1" x14ac:dyDescent="0.25">
      <c r="A289" s="893" t="s">
        <v>202</v>
      </c>
      <c r="B289" s="886" t="s">
        <v>2404</v>
      </c>
      <c r="C289" s="886" t="s">
        <v>2405</v>
      </c>
      <c r="D289" s="939" t="s">
        <v>1501</v>
      </c>
      <c r="E289" s="939" t="s">
        <v>1501</v>
      </c>
      <c r="F289" s="939" t="s">
        <v>1501</v>
      </c>
      <c r="G289" s="939" t="s">
        <v>1501</v>
      </c>
      <c r="H289" s="939" t="s">
        <v>1777</v>
      </c>
      <c r="I289" s="939" t="s">
        <v>1501</v>
      </c>
      <c r="J289" s="939" t="s">
        <v>1501</v>
      </c>
      <c r="K289" s="939" t="s">
        <v>1501</v>
      </c>
      <c r="L289" s="927" t="s">
        <v>2304</v>
      </c>
    </row>
    <row r="290" spans="1:12" x14ac:dyDescent="0.25">
      <c r="A290" s="1090" t="s">
        <v>2406</v>
      </c>
      <c r="B290" s="1091"/>
      <c r="C290" s="1091"/>
      <c r="D290" s="1091"/>
      <c r="E290" s="1091"/>
      <c r="F290" s="1091"/>
      <c r="G290" s="1091"/>
      <c r="H290" s="1091"/>
      <c r="I290" s="1091"/>
      <c r="J290" s="1091"/>
      <c r="K290" s="1091"/>
      <c r="L290" s="1092"/>
    </row>
    <row r="291" spans="1:12" ht="39" customHeight="1" x14ac:dyDescent="0.25">
      <c r="A291" s="893" t="s">
        <v>1832</v>
      </c>
      <c r="B291" s="886" t="s">
        <v>2407</v>
      </c>
      <c r="C291" s="886" t="s">
        <v>2408</v>
      </c>
      <c r="D291" s="939" t="s">
        <v>203</v>
      </c>
      <c r="E291" s="939" t="s">
        <v>203</v>
      </c>
      <c r="F291" s="939" t="s">
        <v>202</v>
      </c>
      <c r="G291" s="939" t="s">
        <v>202</v>
      </c>
      <c r="H291" s="939" t="s">
        <v>202</v>
      </c>
      <c r="I291" s="939" t="s">
        <v>202</v>
      </c>
      <c r="J291" s="939" t="s">
        <v>201</v>
      </c>
      <c r="K291" s="939" t="s">
        <v>202</v>
      </c>
      <c r="L291" s="927" t="s">
        <v>2409</v>
      </c>
    </row>
    <row r="292" spans="1:12" x14ac:dyDescent="0.25">
      <c r="A292" s="1096" t="s">
        <v>2410</v>
      </c>
      <c r="B292" s="1091"/>
      <c r="C292" s="1091"/>
      <c r="D292" s="1091"/>
      <c r="E292" s="1091"/>
      <c r="F292" s="1091"/>
      <c r="G292" s="1091"/>
      <c r="H292" s="1091"/>
      <c r="I292" s="1091"/>
      <c r="J292" s="1091"/>
      <c r="K292" s="1091"/>
      <c r="L292" s="1092"/>
    </row>
    <row r="293" spans="1:12" ht="15" customHeight="1" x14ac:dyDescent="0.25">
      <c r="A293" s="1097" t="s">
        <v>2411</v>
      </c>
      <c r="B293" s="1094"/>
      <c r="C293" s="1094"/>
      <c r="D293" s="1094"/>
      <c r="E293" s="1094"/>
      <c r="F293" s="1094"/>
      <c r="G293" s="1094"/>
      <c r="H293" s="1094"/>
      <c r="I293" s="1094"/>
      <c r="J293" s="1094"/>
      <c r="K293" s="1094"/>
      <c r="L293" s="1095"/>
    </row>
    <row r="294" spans="1:12" s="872" customFormat="1" ht="26.4" x14ac:dyDescent="0.25">
      <c r="A294" s="890" t="s">
        <v>2412</v>
      </c>
      <c r="B294" s="891" t="s">
        <v>2413</v>
      </c>
      <c r="C294" s="891" t="s">
        <v>2414</v>
      </c>
      <c r="D294" s="894" t="s">
        <v>1501</v>
      </c>
      <c r="E294" s="894" t="s">
        <v>1501</v>
      </c>
      <c r="F294" s="894" t="s">
        <v>1501</v>
      </c>
      <c r="G294" s="894" t="s">
        <v>1501</v>
      </c>
      <c r="H294" s="894" t="s">
        <v>1501</v>
      </c>
      <c r="I294" s="894" t="s">
        <v>1501</v>
      </c>
      <c r="J294" s="894" t="s">
        <v>1898</v>
      </c>
      <c r="K294" s="894" t="s">
        <v>1961</v>
      </c>
      <c r="L294" s="1098" t="s">
        <v>2415</v>
      </c>
    </row>
    <row r="295" spans="1:12" s="872" customFormat="1" ht="26.4" x14ac:dyDescent="0.25">
      <c r="A295" s="890" t="s">
        <v>2416</v>
      </c>
      <c r="B295" s="891" t="s">
        <v>2417</v>
      </c>
      <c r="C295" s="891" t="s">
        <v>2414</v>
      </c>
      <c r="D295" s="894" t="s">
        <v>1501</v>
      </c>
      <c r="E295" s="894" t="s">
        <v>1501</v>
      </c>
      <c r="F295" s="894" t="s">
        <v>1501</v>
      </c>
      <c r="G295" s="894" t="s">
        <v>1501</v>
      </c>
      <c r="H295" s="894" t="s">
        <v>1501</v>
      </c>
      <c r="I295" s="894" t="s">
        <v>1501</v>
      </c>
      <c r="J295" s="894" t="s">
        <v>1898</v>
      </c>
      <c r="K295" s="894" t="s">
        <v>203</v>
      </c>
      <c r="L295" s="1098"/>
    </row>
    <row r="296" spans="1:12" x14ac:dyDescent="0.25">
      <c r="A296" s="1090" t="s">
        <v>2418</v>
      </c>
      <c r="B296" s="1091"/>
      <c r="C296" s="1091"/>
      <c r="D296" s="1091"/>
      <c r="E296" s="1091"/>
      <c r="F296" s="1091"/>
      <c r="G296" s="1091"/>
      <c r="H296" s="1091"/>
      <c r="I296" s="1091"/>
      <c r="J296" s="1091"/>
      <c r="K296" s="1091"/>
      <c r="L296" s="1092"/>
    </row>
    <row r="297" spans="1:12" x14ac:dyDescent="0.25">
      <c r="A297" s="1099" t="s">
        <v>2419</v>
      </c>
      <c r="B297" s="1100"/>
      <c r="C297" s="1100"/>
      <c r="D297" s="1100"/>
      <c r="E297" s="1100"/>
      <c r="F297" s="1100"/>
      <c r="G297" s="1100"/>
      <c r="H297" s="1100"/>
      <c r="I297" s="1100"/>
      <c r="J297" s="1100"/>
      <c r="K297" s="1100"/>
      <c r="L297" s="1101"/>
    </row>
    <row r="298" spans="1:12" ht="105.6" x14ac:dyDescent="0.25">
      <c r="A298" s="893" t="s">
        <v>2365</v>
      </c>
      <c r="B298" s="886" t="s">
        <v>2420</v>
      </c>
      <c r="C298" s="886" t="s">
        <v>2421</v>
      </c>
      <c r="D298" s="939" t="s">
        <v>1501</v>
      </c>
      <c r="E298" s="939" t="s">
        <v>1501</v>
      </c>
      <c r="F298" s="939" t="s">
        <v>1501</v>
      </c>
      <c r="G298" s="939" t="s">
        <v>1501</v>
      </c>
      <c r="H298" s="939" t="s">
        <v>1501</v>
      </c>
      <c r="I298" s="939" t="s">
        <v>1501</v>
      </c>
      <c r="J298" s="939" t="s">
        <v>16</v>
      </c>
      <c r="K298" s="939" t="s">
        <v>15</v>
      </c>
      <c r="L298" s="927" t="s">
        <v>2422</v>
      </c>
    </row>
    <row r="299" spans="1:12" x14ac:dyDescent="0.25">
      <c r="A299" s="1090" t="s">
        <v>2423</v>
      </c>
      <c r="B299" s="1091"/>
      <c r="C299" s="1091"/>
      <c r="D299" s="1091"/>
      <c r="E299" s="1091"/>
      <c r="F299" s="1091"/>
      <c r="G299" s="1091"/>
      <c r="H299" s="1091"/>
      <c r="I299" s="1091"/>
      <c r="J299" s="1091"/>
      <c r="K299" s="1091"/>
      <c r="L299" s="1092"/>
    </row>
    <row r="300" spans="1:12" x14ac:dyDescent="0.25">
      <c r="A300" s="1093" t="s">
        <v>2424</v>
      </c>
      <c r="B300" s="1094"/>
      <c r="C300" s="1094"/>
      <c r="D300" s="1094"/>
      <c r="E300" s="1094"/>
      <c r="F300" s="1094"/>
      <c r="G300" s="1094"/>
      <c r="H300" s="1094"/>
      <c r="I300" s="1094"/>
      <c r="J300" s="1094"/>
      <c r="K300" s="1094"/>
      <c r="L300" s="1095"/>
    </row>
    <row r="301" spans="1:12" ht="53.25" customHeight="1" x14ac:dyDescent="0.25">
      <c r="A301" s="893" t="s">
        <v>1810</v>
      </c>
      <c r="B301" s="886" t="s">
        <v>2425</v>
      </c>
      <c r="C301" s="886" t="s">
        <v>2426</v>
      </c>
      <c r="D301" s="939" t="s">
        <v>1501</v>
      </c>
      <c r="E301" s="939" t="s">
        <v>1501</v>
      </c>
      <c r="F301" s="939" t="s">
        <v>16</v>
      </c>
      <c r="G301" s="939" t="s">
        <v>1501</v>
      </c>
      <c r="H301" s="939" t="s">
        <v>17</v>
      </c>
      <c r="I301" s="939" t="s">
        <v>1501</v>
      </c>
      <c r="J301" s="939" t="s">
        <v>17</v>
      </c>
      <c r="K301" s="939" t="s">
        <v>1501</v>
      </c>
      <c r="L301" s="927" t="s">
        <v>2304</v>
      </c>
    </row>
    <row r="302" spans="1:12" x14ac:dyDescent="0.25">
      <c r="A302" s="1093" t="s">
        <v>2427</v>
      </c>
      <c r="B302" s="1094"/>
      <c r="C302" s="1094"/>
      <c r="D302" s="1094"/>
      <c r="E302" s="1094"/>
      <c r="F302" s="1094"/>
      <c r="G302" s="1094"/>
      <c r="H302" s="1094"/>
      <c r="I302" s="1094"/>
      <c r="J302" s="1094"/>
      <c r="K302" s="1094"/>
      <c r="L302" s="1095"/>
    </row>
    <row r="303" spans="1:12" ht="79.2" x14ac:dyDescent="0.25">
      <c r="A303" s="916" t="s">
        <v>1498</v>
      </c>
      <c r="B303" s="917" t="s">
        <v>2428</v>
      </c>
      <c r="C303" s="917" t="s">
        <v>2429</v>
      </c>
      <c r="D303" s="949" t="s">
        <v>1501</v>
      </c>
      <c r="E303" s="949" t="s">
        <v>1501</v>
      </c>
      <c r="F303" s="949" t="s">
        <v>1501</v>
      </c>
      <c r="G303" s="949" t="s">
        <v>1501</v>
      </c>
      <c r="H303" s="949" t="s">
        <v>1501</v>
      </c>
      <c r="I303" s="949" t="s">
        <v>1501</v>
      </c>
      <c r="J303" s="939" t="s">
        <v>1652</v>
      </c>
      <c r="K303" s="939" t="s">
        <v>1501</v>
      </c>
      <c r="L303" s="927" t="s">
        <v>2430</v>
      </c>
    </row>
    <row r="304" spans="1:12" x14ac:dyDescent="0.25">
      <c r="A304" s="1093" t="s">
        <v>2431</v>
      </c>
      <c r="B304" s="1094"/>
      <c r="C304" s="1094"/>
      <c r="D304" s="1094"/>
      <c r="E304" s="1094"/>
      <c r="F304" s="1094"/>
      <c r="G304" s="1094"/>
      <c r="H304" s="1094"/>
      <c r="I304" s="1094"/>
      <c r="J304" s="1094"/>
      <c r="K304" s="1094"/>
      <c r="L304" s="1095"/>
    </row>
    <row r="305" spans="1:12" ht="138" x14ac:dyDescent="0.25">
      <c r="A305" s="918" t="s">
        <v>2260</v>
      </c>
      <c r="B305" s="919" t="s">
        <v>2432</v>
      </c>
      <c r="C305" s="919" t="s">
        <v>2433</v>
      </c>
      <c r="D305" s="950" t="s">
        <v>1501</v>
      </c>
      <c r="E305" s="950" t="s">
        <v>1501</v>
      </c>
      <c r="F305" s="950" t="s">
        <v>1501</v>
      </c>
      <c r="G305" s="950" t="s">
        <v>1501</v>
      </c>
      <c r="H305" s="950" t="s">
        <v>1501</v>
      </c>
      <c r="I305" s="950" t="s">
        <v>1501</v>
      </c>
      <c r="J305" s="950" t="s">
        <v>1652</v>
      </c>
      <c r="K305" s="950" t="s">
        <v>1501</v>
      </c>
      <c r="L305" s="935" t="s">
        <v>2434</v>
      </c>
    </row>
    <row r="306" spans="1:12" x14ac:dyDescent="0.25">
      <c r="A306" s="1093" t="s">
        <v>2435</v>
      </c>
      <c r="B306" s="1094"/>
      <c r="C306" s="1094"/>
      <c r="D306" s="1094"/>
      <c r="E306" s="1094"/>
      <c r="F306" s="1094"/>
      <c r="G306" s="1094"/>
      <c r="H306" s="1094"/>
      <c r="I306" s="1094"/>
      <c r="J306" s="1094"/>
      <c r="K306" s="1094"/>
      <c r="L306" s="1095"/>
    </row>
    <row r="307" spans="1:12" ht="235.2" thickBot="1" x14ac:dyDescent="0.3">
      <c r="A307" s="920" t="s">
        <v>1462</v>
      </c>
      <c r="B307" s="921" t="s">
        <v>2436</v>
      </c>
      <c r="C307" s="921" t="s">
        <v>2437</v>
      </c>
      <c r="D307" s="951" t="s">
        <v>1501</v>
      </c>
      <c r="E307" s="951" t="s">
        <v>1501</v>
      </c>
      <c r="F307" s="951" t="s">
        <v>1898</v>
      </c>
      <c r="G307" s="951" t="s">
        <v>1501</v>
      </c>
      <c r="H307" s="951" t="s">
        <v>1529</v>
      </c>
      <c r="I307" s="951" t="s">
        <v>1501</v>
      </c>
      <c r="J307" s="951" t="s">
        <v>2065</v>
      </c>
      <c r="K307" s="951" t="s">
        <v>1501</v>
      </c>
      <c r="L307" s="936" t="s">
        <v>2438</v>
      </c>
    </row>
    <row r="308" spans="1:12" ht="14.4" thickTop="1" x14ac:dyDescent="0.25"/>
  </sheetData>
  <mergeCells count="184">
    <mergeCell ref="A2:L3"/>
    <mergeCell ref="A5:A6"/>
    <mergeCell ref="B5:B6"/>
    <mergeCell ref="C5:K5"/>
    <mergeCell ref="L5:L6"/>
    <mergeCell ref="A11:A14"/>
    <mergeCell ref="B11:B14"/>
    <mergeCell ref="L11:L16"/>
    <mergeCell ref="A17:A19"/>
    <mergeCell ref="B17:B19"/>
    <mergeCell ref="L17:L19"/>
    <mergeCell ref="A7:L7"/>
    <mergeCell ref="A8:L8"/>
    <mergeCell ref="A10:L10"/>
    <mergeCell ref="A28:L28"/>
    <mergeCell ref="A29:A31"/>
    <mergeCell ref="B29:B31"/>
    <mergeCell ref="L29:L30"/>
    <mergeCell ref="A33:L33"/>
    <mergeCell ref="A35:L35"/>
    <mergeCell ref="A20:A23"/>
    <mergeCell ref="B20:B23"/>
    <mergeCell ref="L20:L23"/>
    <mergeCell ref="A24:A27"/>
    <mergeCell ref="B24:B27"/>
    <mergeCell ref="L24:L27"/>
    <mergeCell ref="A47:L47"/>
    <mergeCell ref="A48:L48"/>
    <mergeCell ref="A52:A53"/>
    <mergeCell ref="B52:B53"/>
    <mergeCell ref="A54:L54"/>
    <mergeCell ref="A55:A56"/>
    <mergeCell ref="B55:B56"/>
    <mergeCell ref="L55:L56"/>
    <mergeCell ref="A37:L37"/>
    <mergeCell ref="A38:A39"/>
    <mergeCell ref="B38:B39"/>
    <mergeCell ref="L38:L39"/>
    <mergeCell ref="A43:A45"/>
    <mergeCell ref="B43:B45"/>
    <mergeCell ref="A70:L70"/>
    <mergeCell ref="A71:A72"/>
    <mergeCell ref="B71:B72"/>
    <mergeCell ref="L71:L72"/>
    <mergeCell ref="A76:A77"/>
    <mergeCell ref="B76:B77"/>
    <mergeCell ref="L76:L77"/>
    <mergeCell ref="A59:L59"/>
    <mergeCell ref="A60:A63"/>
    <mergeCell ref="B60:B63"/>
    <mergeCell ref="L60:L63"/>
    <mergeCell ref="A65:L65"/>
    <mergeCell ref="L66:L69"/>
    <mergeCell ref="A68:A69"/>
    <mergeCell ref="B68:B69"/>
    <mergeCell ref="A87:L87"/>
    <mergeCell ref="A88:L88"/>
    <mergeCell ref="L89:L90"/>
    <mergeCell ref="A91:L91"/>
    <mergeCell ref="L95:L97"/>
    <mergeCell ref="A99:L99"/>
    <mergeCell ref="A78:A79"/>
    <mergeCell ref="B78:B79"/>
    <mergeCell ref="A80:A81"/>
    <mergeCell ref="B80:B81"/>
    <mergeCell ref="L80:L81"/>
    <mergeCell ref="A84:A85"/>
    <mergeCell ref="B84:B85"/>
    <mergeCell ref="L84:L85"/>
    <mergeCell ref="A119:L119"/>
    <mergeCell ref="A120:A121"/>
    <mergeCell ref="B120:B121"/>
    <mergeCell ref="L120:L121"/>
    <mergeCell ref="L122:L123"/>
    <mergeCell ref="A124:A125"/>
    <mergeCell ref="B124:B125"/>
    <mergeCell ref="L124:L127"/>
    <mergeCell ref="L100:L110"/>
    <mergeCell ref="A111:L111"/>
    <mergeCell ref="A112:A113"/>
    <mergeCell ref="B112:B113"/>
    <mergeCell ref="L112:L113"/>
    <mergeCell ref="A117:A118"/>
    <mergeCell ref="B117:B118"/>
    <mergeCell ref="L117:L118"/>
    <mergeCell ref="A137:L137"/>
    <mergeCell ref="A139:A140"/>
    <mergeCell ref="B139:B140"/>
    <mergeCell ref="L139:L141"/>
    <mergeCell ref="A142:A143"/>
    <mergeCell ref="B142:B143"/>
    <mergeCell ref="A128:L128"/>
    <mergeCell ref="A129:A131"/>
    <mergeCell ref="B129:B131"/>
    <mergeCell ref="L129:L131"/>
    <mergeCell ref="A133:L133"/>
    <mergeCell ref="A135:L135"/>
    <mergeCell ref="L155:L156"/>
    <mergeCell ref="A158:L158"/>
    <mergeCell ref="A144:L144"/>
    <mergeCell ref="A145:L145"/>
    <mergeCell ref="A147:A149"/>
    <mergeCell ref="B147:B149"/>
    <mergeCell ref="L147:L149"/>
    <mergeCell ref="A154:L154"/>
    <mergeCell ref="A168:L168"/>
    <mergeCell ref="A170:L170"/>
    <mergeCell ref="A172:L172"/>
    <mergeCell ref="A175:L175"/>
    <mergeCell ref="A176:L176"/>
    <mergeCell ref="A178:L178"/>
    <mergeCell ref="A160:L160"/>
    <mergeCell ref="A161:L161"/>
    <mergeCell ref="A163:L163"/>
    <mergeCell ref="A164:L164"/>
    <mergeCell ref="A166:L166"/>
    <mergeCell ref="A200:L200"/>
    <mergeCell ref="A202:L202"/>
    <mergeCell ref="A206:A207"/>
    <mergeCell ref="B206:B207"/>
    <mergeCell ref="L206:L207"/>
    <mergeCell ref="A208:L208"/>
    <mergeCell ref="A180:L180"/>
    <mergeCell ref="A181:L181"/>
    <mergeCell ref="A185:L185"/>
    <mergeCell ref="A188:L188"/>
    <mergeCell ref="A189:L189"/>
    <mergeCell ref="A190:A191"/>
    <mergeCell ref="B190:B191"/>
    <mergeCell ref="L190:L191"/>
    <mergeCell ref="A234:L234"/>
    <mergeCell ref="A236:L236"/>
    <mergeCell ref="A238:L238"/>
    <mergeCell ref="A239:L239"/>
    <mergeCell ref="A241:L241"/>
    <mergeCell ref="A242:A243"/>
    <mergeCell ref="B242:B243"/>
    <mergeCell ref="A209:L209"/>
    <mergeCell ref="L210:L211"/>
    <mergeCell ref="A225:L225"/>
    <mergeCell ref="A227:L227"/>
    <mergeCell ref="A228:A229"/>
    <mergeCell ref="B228:B229"/>
    <mergeCell ref="L228:L233"/>
    <mergeCell ref="A231:A232"/>
    <mergeCell ref="B231:B232"/>
    <mergeCell ref="A258:A259"/>
    <mergeCell ref="B258:B259"/>
    <mergeCell ref="A260:L260"/>
    <mergeCell ref="A261:L261"/>
    <mergeCell ref="A263:L263"/>
    <mergeCell ref="A265:L265"/>
    <mergeCell ref="A244:L244"/>
    <mergeCell ref="A245:L245"/>
    <mergeCell ref="A247:L247"/>
    <mergeCell ref="A249:L249"/>
    <mergeCell ref="A251:L251"/>
    <mergeCell ref="A254:L254"/>
    <mergeCell ref="L277:L278"/>
    <mergeCell ref="A281:L281"/>
    <mergeCell ref="A283:L283"/>
    <mergeCell ref="A284:A285"/>
    <mergeCell ref="B284:B285"/>
    <mergeCell ref="L285:L287"/>
    <mergeCell ref="A286:A287"/>
    <mergeCell ref="B286:B287"/>
    <mergeCell ref="A266:L266"/>
    <mergeCell ref="L267:L269"/>
    <mergeCell ref="A270:L270"/>
    <mergeCell ref="A273:L273"/>
    <mergeCell ref="A275:A276"/>
    <mergeCell ref="B275:B276"/>
    <mergeCell ref="L275:L276"/>
    <mergeCell ref="A299:L299"/>
    <mergeCell ref="A300:L300"/>
    <mergeCell ref="A302:L302"/>
    <mergeCell ref="A304:L304"/>
    <mergeCell ref="A306:L306"/>
    <mergeCell ref="A290:L290"/>
    <mergeCell ref="A292:L292"/>
    <mergeCell ref="A293:L293"/>
    <mergeCell ref="L294:L295"/>
    <mergeCell ref="A296:L296"/>
    <mergeCell ref="A297:L297"/>
  </mergeCells>
  <pageMargins left="0.39370078740157483" right="0.39370078740157483" top="0.74803149606299213" bottom="0.74803149606299213" header="0.31496062992125984" footer="0.31496062992125984"/>
  <pageSetup paperSize="8" scale="78" fitToHeight="0"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104"/>
  <sheetViews>
    <sheetView workbookViewId="0">
      <selection activeCell="F8" sqref="F8"/>
    </sheetView>
  </sheetViews>
  <sheetFormatPr defaultColWidth="8.6640625" defaultRowHeight="13.2" x14ac:dyDescent="0.25"/>
  <cols>
    <col min="1" max="1" width="52.33203125" style="964" customWidth="1"/>
    <col min="2" max="2" width="4.33203125" style="964" bestFit="1" customWidth="1"/>
    <col min="3" max="3" width="12.33203125" style="794" bestFit="1" customWidth="1"/>
    <col min="4" max="4" width="12.21875" style="794" bestFit="1" customWidth="1"/>
    <col min="5" max="5" width="8.33203125" style="794" customWidth="1"/>
    <col min="6" max="7" width="11.33203125" style="794" bestFit="1" customWidth="1"/>
    <col min="8" max="8" width="8.6640625" style="794"/>
    <col min="9" max="9" width="11.33203125" style="794" bestFit="1" customWidth="1"/>
    <col min="10" max="10" width="11.21875" style="794" bestFit="1" customWidth="1"/>
    <col min="11" max="11" width="8.6640625" style="794"/>
    <col min="12" max="13" width="11" style="794" bestFit="1" customWidth="1"/>
    <col min="14" max="14" width="8.6640625" style="794"/>
    <col min="15" max="16" width="11.21875" style="794" bestFit="1" customWidth="1"/>
    <col min="17" max="17" width="8.6640625" style="794"/>
    <col min="18" max="18" width="9.6640625" style="794" bestFit="1" customWidth="1"/>
    <col min="19" max="19" width="9.77734375" style="794" bestFit="1" customWidth="1"/>
    <col min="20" max="16384" width="8.6640625" style="794"/>
  </cols>
  <sheetData>
    <row r="1" spans="1:20" x14ac:dyDescent="0.25">
      <c r="T1" s="795" t="s">
        <v>2468</v>
      </c>
    </row>
    <row r="3" spans="1:20" ht="15.6" x14ac:dyDescent="0.3">
      <c r="A3" s="1165" t="s">
        <v>1211</v>
      </c>
      <c r="B3" s="1165"/>
      <c r="C3" s="1165"/>
      <c r="D3" s="1165"/>
      <c r="E3" s="1165"/>
      <c r="F3" s="1165"/>
      <c r="G3" s="1165"/>
      <c r="H3" s="1165"/>
      <c r="I3" s="1165"/>
      <c r="J3" s="1165"/>
      <c r="K3" s="1165"/>
      <c r="L3" s="1165"/>
      <c r="M3" s="1165"/>
      <c r="N3" s="1165"/>
      <c r="O3" s="1165"/>
      <c r="P3" s="1165"/>
      <c r="Q3" s="1165"/>
      <c r="R3" s="1165"/>
      <c r="S3" s="1165"/>
      <c r="T3" s="1165"/>
    </row>
    <row r="5" spans="1:20" ht="13.8" thickBot="1" x14ac:dyDescent="0.3">
      <c r="D5" s="796"/>
      <c r="T5" s="795" t="s">
        <v>180</v>
      </c>
    </row>
    <row r="6" spans="1:20" ht="13.8" thickTop="1" x14ac:dyDescent="0.25">
      <c r="A6" s="1166" t="s">
        <v>1003</v>
      </c>
      <c r="B6" s="1168" t="s">
        <v>1212</v>
      </c>
      <c r="C6" s="1170" t="s">
        <v>1213</v>
      </c>
      <c r="D6" s="1170"/>
      <c r="E6" s="1170"/>
      <c r="F6" s="1172" t="s">
        <v>1021</v>
      </c>
      <c r="G6" s="1172"/>
      <c r="H6" s="1172"/>
      <c r="I6" s="1172"/>
      <c r="J6" s="1172"/>
      <c r="K6" s="1172"/>
      <c r="L6" s="1172"/>
      <c r="M6" s="1172"/>
      <c r="N6" s="1172"/>
      <c r="O6" s="1172"/>
      <c r="P6" s="1172"/>
      <c r="Q6" s="1172"/>
      <c r="R6" s="1172"/>
      <c r="S6" s="1172"/>
      <c r="T6" s="1173"/>
    </row>
    <row r="7" spans="1:20" ht="40.950000000000003" customHeight="1" x14ac:dyDescent="0.25">
      <c r="A7" s="1167"/>
      <c r="B7" s="1169"/>
      <c r="C7" s="1171"/>
      <c r="D7" s="1171"/>
      <c r="E7" s="1171"/>
      <c r="F7" s="1171" t="s">
        <v>1214</v>
      </c>
      <c r="G7" s="1171"/>
      <c r="H7" s="1171"/>
      <c r="I7" s="1171" t="s">
        <v>1215</v>
      </c>
      <c r="J7" s="1171"/>
      <c r="K7" s="1171"/>
      <c r="L7" s="1171" t="s">
        <v>1216</v>
      </c>
      <c r="M7" s="1171"/>
      <c r="N7" s="1171"/>
      <c r="O7" s="1171" t="s">
        <v>1217</v>
      </c>
      <c r="P7" s="1171"/>
      <c r="Q7" s="1171"/>
      <c r="R7" s="1171" t="s">
        <v>1218</v>
      </c>
      <c r="S7" s="1171"/>
      <c r="T7" s="1174"/>
    </row>
    <row r="8" spans="1:20" ht="38.25" customHeight="1" x14ac:dyDescent="0.25">
      <c r="A8" s="1167"/>
      <c r="B8" s="1169"/>
      <c r="C8" s="797" t="s">
        <v>390</v>
      </c>
      <c r="D8" s="797" t="s">
        <v>139</v>
      </c>
      <c r="E8" s="797" t="s">
        <v>1219</v>
      </c>
      <c r="F8" s="797" t="s">
        <v>390</v>
      </c>
      <c r="G8" s="797" t="s">
        <v>139</v>
      </c>
      <c r="H8" s="797" t="s">
        <v>1219</v>
      </c>
      <c r="I8" s="797" t="s">
        <v>390</v>
      </c>
      <c r="J8" s="797" t="s">
        <v>139</v>
      </c>
      <c r="K8" s="797" t="s">
        <v>1219</v>
      </c>
      <c r="L8" s="797" t="s">
        <v>390</v>
      </c>
      <c r="M8" s="797" t="s">
        <v>139</v>
      </c>
      <c r="N8" s="797" t="s">
        <v>1219</v>
      </c>
      <c r="O8" s="797" t="s">
        <v>390</v>
      </c>
      <c r="P8" s="797" t="s">
        <v>139</v>
      </c>
      <c r="Q8" s="797" t="s">
        <v>1219</v>
      </c>
      <c r="R8" s="797" t="s">
        <v>390</v>
      </c>
      <c r="S8" s="797" t="s">
        <v>139</v>
      </c>
      <c r="T8" s="798" t="s">
        <v>1219</v>
      </c>
    </row>
    <row r="9" spans="1:20" ht="26.4" hidden="1" x14ac:dyDescent="0.25">
      <c r="A9" s="965" t="s">
        <v>1220</v>
      </c>
      <c r="B9" s="969" t="s">
        <v>1221</v>
      </c>
      <c r="C9" s="799">
        <f>+F9+I9+L9+O9+R9</f>
        <v>0</v>
      </c>
      <c r="D9" s="799">
        <f>+G9+J9+M9+P9+S9</f>
        <v>0</v>
      </c>
      <c r="E9" s="800" t="str">
        <f>IF(C9=0,"-",D9/C9*100)</f>
        <v>-</v>
      </c>
      <c r="F9" s="799">
        <f>+F10+F14</f>
        <v>0</v>
      </c>
      <c r="G9" s="799">
        <f>+G10+G14</f>
        <v>0</v>
      </c>
      <c r="H9" s="800" t="str">
        <f>IF(F9=0,"-",G9/F9*100)</f>
        <v>-</v>
      </c>
      <c r="I9" s="799">
        <f>+I10+I14</f>
        <v>0</v>
      </c>
      <c r="J9" s="799">
        <f>+J10+J14</f>
        <v>0</v>
      </c>
      <c r="K9" s="800" t="str">
        <f>IF(I9=0,"-",J9/I9*100)</f>
        <v>-</v>
      </c>
      <c r="L9" s="799">
        <f>+L10+L14</f>
        <v>0</v>
      </c>
      <c r="M9" s="799">
        <f>+M10+M14</f>
        <v>0</v>
      </c>
      <c r="N9" s="800" t="str">
        <f>IF(L9=0,"-",M9/L9*100)</f>
        <v>-</v>
      </c>
      <c r="O9" s="799">
        <f>+O10+O14</f>
        <v>0</v>
      </c>
      <c r="P9" s="799">
        <f>+P10+P14</f>
        <v>0</v>
      </c>
      <c r="Q9" s="800" t="str">
        <f>IF(O9=0,"-",P9/O9*100)</f>
        <v>-</v>
      </c>
      <c r="R9" s="799">
        <f>+R10+R14</f>
        <v>0</v>
      </c>
      <c r="S9" s="799">
        <f>+S10+S14</f>
        <v>0</v>
      </c>
      <c r="T9" s="801" t="str">
        <f>IF(R9=0,"-",S9/R9*100)</f>
        <v>-</v>
      </c>
    </row>
    <row r="10" spans="1:20" hidden="1" x14ac:dyDescent="0.25">
      <c r="A10" s="965" t="s">
        <v>1222</v>
      </c>
      <c r="B10" s="969" t="s">
        <v>1223</v>
      </c>
      <c r="C10" s="800">
        <f t="shared" ref="C10:R78" si="0">+F10+I10+L10+O10+R10</f>
        <v>0</v>
      </c>
      <c r="D10" s="800">
        <f t="shared" si="0"/>
        <v>0</v>
      </c>
      <c r="E10" s="800" t="e">
        <f t="shared" si="0"/>
        <v>#VALUE!</v>
      </c>
      <c r="F10" s="800">
        <f t="shared" si="0"/>
        <v>0</v>
      </c>
      <c r="G10" s="800">
        <f t="shared" si="0"/>
        <v>0</v>
      </c>
      <c r="H10" s="800" t="e">
        <f t="shared" si="0"/>
        <v>#VALUE!</v>
      </c>
      <c r="I10" s="800">
        <f t="shared" si="0"/>
        <v>0</v>
      </c>
      <c r="J10" s="800">
        <f t="shared" si="0"/>
        <v>0</v>
      </c>
      <c r="K10" s="800" t="e">
        <f t="shared" si="0"/>
        <v>#VALUE!</v>
      </c>
      <c r="L10" s="800">
        <f t="shared" si="0"/>
        <v>0</v>
      </c>
      <c r="M10" s="800">
        <f t="shared" si="0"/>
        <v>0</v>
      </c>
      <c r="N10" s="800" t="e">
        <f t="shared" si="0"/>
        <v>#VALUE!</v>
      </c>
      <c r="O10" s="800">
        <f t="shared" si="0"/>
        <v>0</v>
      </c>
      <c r="P10" s="800">
        <f t="shared" si="0"/>
        <v>0</v>
      </c>
      <c r="Q10" s="800" t="e">
        <f t="shared" si="0"/>
        <v>#VALUE!</v>
      </c>
      <c r="R10" s="800">
        <f t="shared" si="0"/>
        <v>0</v>
      </c>
      <c r="S10" s="800">
        <f t="shared" ref="S10:S16" si="1">+V10+Y10+AB10+AE10+AH10</f>
        <v>0</v>
      </c>
      <c r="T10" s="801" t="str">
        <f t="shared" ref="T10:T78" si="2">IF(R10=0,"-",S10/R10*100)</f>
        <v>-</v>
      </c>
    </row>
    <row r="11" spans="1:20" ht="26.4" hidden="1" x14ac:dyDescent="0.25">
      <c r="A11" s="966" t="s">
        <v>879</v>
      </c>
      <c r="B11" s="969" t="s">
        <v>878</v>
      </c>
      <c r="C11" s="800">
        <f t="shared" si="0"/>
        <v>0</v>
      </c>
      <c r="D11" s="800">
        <f t="shared" si="0"/>
        <v>0</v>
      </c>
      <c r="E11" s="800" t="e">
        <f t="shared" si="0"/>
        <v>#VALUE!</v>
      </c>
      <c r="F11" s="800">
        <f t="shared" si="0"/>
        <v>0</v>
      </c>
      <c r="G11" s="800">
        <f t="shared" si="0"/>
        <v>0</v>
      </c>
      <c r="H11" s="800" t="e">
        <f t="shared" si="0"/>
        <v>#VALUE!</v>
      </c>
      <c r="I11" s="800">
        <f t="shared" si="0"/>
        <v>0</v>
      </c>
      <c r="J11" s="800">
        <f t="shared" si="0"/>
        <v>0</v>
      </c>
      <c r="K11" s="800" t="e">
        <f t="shared" si="0"/>
        <v>#VALUE!</v>
      </c>
      <c r="L11" s="800">
        <f t="shared" si="0"/>
        <v>0</v>
      </c>
      <c r="M11" s="800">
        <f t="shared" si="0"/>
        <v>0</v>
      </c>
      <c r="N11" s="800" t="e">
        <f t="shared" si="0"/>
        <v>#VALUE!</v>
      </c>
      <c r="O11" s="800">
        <f t="shared" si="0"/>
        <v>0</v>
      </c>
      <c r="P11" s="800">
        <f t="shared" si="0"/>
        <v>0</v>
      </c>
      <c r="Q11" s="800" t="e">
        <f t="shared" si="0"/>
        <v>#VALUE!</v>
      </c>
      <c r="R11" s="800">
        <f t="shared" si="0"/>
        <v>0</v>
      </c>
      <c r="S11" s="800">
        <f t="shared" si="1"/>
        <v>0</v>
      </c>
      <c r="T11" s="801" t="str">
        <f t="shared" si="2"/>
        <v>-</v>
      </c>
    </row>
    <row r="12" spans="1:20" ht="26.4" hidden="1" x14ac:dyDescent="0.25">
      <c r="A12" s="966" t="s">
        <v>748</v>
      </c>
      <c r="B12" s="969" t="s">
        <v>747</v>
      </c>
      <c r="C12" s="800">
        <f t="shared" si="0"/>
        <v>0</v>
      </c>
      <c r="D12" s="800">
        <f t="shared" si="0"/>
        <v>0</v>
      </c>
      <c r="E12" s="800" t="e">
        <f t="shared" si="0"/>
        <v>#VALUE!</v>
      </c>
      <c r="F12" s="800">
        <f t="shared" si="0"/>
        <v>0</v>
      </c>
      <c r="G12" s="800">
        <f t="shared" si="0"/>
        <v>0</v>
      </c>
      <c r="H12" s="800" t="e">
        <f t="shared" si="0"/>
        <v>#VALUE!</v>
      </c>
      <c r="I12" s="800">
        <f t="shared" si="0"/>
        <v>0</v>
      </c>
      <c r="J12" s="800">
        <f t="shared" si="0"/>
        <v>0</v>
      </c>
      <c r="K12" s="800" t="e">
        <f t="shared" si="0"/>
        <v>#VALUE!</v>
      </c>
      <c r="L12" s="800">
        <f t="shared" si="0"/>
        <v>0</v>
      </c>
      <c r="M12" s="800">
        <f t="shared" si="0"/>
        <v>0</v>
      </c>
      <c r="N12" s="800" t="e">
        <f t="shared" si="0"/>
        <v>#VALUE!</v>
      </c>
      <c r="O12" s="800">
        <f t="shared" si="0"/>
        <v>0</v>
      </c>
      <c r="P12" s="800">
        <f t="shared" si="0"/>
        <v>0</v>
      </c>
      <c r="Q12" s="800" t="e">
        <f t="shared" si="0"/>
        <v>#VALUE!</v>
      </c>
      <c r="R12" s="800">
        <f t="shared" si="0"/>
        <v>0</v>
      </c>
      <c r="S12" s="800">
        <f t="shared" si="1"/>
        <v>0</v>
      </c>
      <c r="T12" s="801" t="str">
        <f t="shared" si="2"/>
        <v>-</v>
      </c>
    </row>
    <row r="13" spans="1:20" ht="26.4" hidden="1" x14ac:dyDescent="0.25">
      <c r="A13" s="966" t="s">
        <v>762</v>
      </c>
      <c r="B13" s="969" t="s">
        <v>761</v>
      </c>
      <c r="C13" s="800">
        <f t="shared" si="0"/>
        <v>0</v>
      </c>
      <c r="D13" s="800">
        <f t="shared" si="0"/>
        <v>0</v>
      </c>
      <c r="E13" s="800" t="e">
        <f t="shared" si="0"/>
        <v>#VALUE!</v>
      </c>
      <c r="F13" s="800">
        <f t="shared" si="0"/>
        <v>0</v>
      </c>
      <c r="G13" s="800">
        <f t="shared" si="0"/>
        <v>0</v>
      </c>
      <c r="H13" s="800" t="e">
        <f t="shared" si="0"/>
        <v>#VALUE!</v>
      </c>
      <c r="I13" s="800">
        <f t="shared" si="0"/>
        <v>0</v>
      </c>
      <c r="J13" s="800">
        <f t="shared" si="0"/>
        <v>0</v>
      </c>
      <c r="K13" s="800" t="e">
        <f t="shared" si="0"/>
        <v>#VALUE!</v>
      </c>
      <c r="L13" s="800">
        <f t="shared" si="0"/>
        <v>0</v>
      </c>
      <c r="M13" s="800">
        <f t="shared" si="0"/>
        <v>0</v>
      </c>
      <c r="N13" s="800" t="e">
        <f t="shared" si="0"/>
        <v>#VALUE!</v>
      </c>
      <c r="O13" s="800">
        <f t="shared" si="0"/>
        <v>0</v>
      </c>
      <c r="P13" s="800">
        <f t="shared" si="0"/>
        <v>0</v>
      </c>
      <c r="Q13" s="800" t="e">
        <f t="shared" si="0"/>
        <v>#VALUE!</v>
      </c>
      <c r="R13" s="800">
        <f t="shared" si="0"/>
        <v>0</v>
      </c>
      <c r="S13" s="800">
        <f t="shared" si="1"/>
        <v>0</v>
      </c>
      <c r="T13" s="801" t="str">
        <f t="shared" si="2"/>
        <v>-</v>
      </c>
    </row>
    <row r="14" spans="1:20" ht="26.4" hidden="1" x14ac:dyDescent="0.25">
      <c r="A14" s="965" t="s">
        <v>1224</v>
      </c>
      <c r="B14" s="969" t="s">
        <v>1225</v>
      </c>
      <c r="C14" s="800">
        <f t="shared" si="0"/>
        <v>0</v>
      </c>
      <c r="D14" s="800">
        <f t="shared" si="0"/>
        <v>0</v>
      </c>
      <c r="E14" s="800" t="e">
        <f t="shared" si="0"/>
        <v>#VALUE!</v>
      </c>
      <c r="F14" s="800">
        <f t="shared" si="0"/>
        <v>0</v>
      </c>
      <c r="G14" s="800">
        <f t="shared" si="0"/>
        <v>0</v>
      </c>
      <c r="H14" s="800" t="e">
        <f t="shared" si="0"/>
        <v>#VALUE!</v>
      </c>
      <c r="I14" s="800">
        <f t="shared" si="0"/>
        <v>0</v>
      </c>
      <c r="J14" s="800">
        <f t="shared" si="0"/>
        <v>0</v>
      </c>
      <c r="K14" s="800" t="e">
        <f t="shared" si="0"/>
        <v>#VALUE!</v>
      </c>
      <c r="L14" s="800">
        <f t="shared" si="0"/>
        <v>0</v>
      </c>
      <c r="M14" s="800">
        <f t="shared" si="0"/>
        <v>0</v>
      </c>
      <c r="N14" s="800" t="e">
        <f t="shared" si="0"/>
        <v>#VALUE!</v>
      </c>
      <c r="O14" s="800">
        <f t="shared" si="0"/>
        <v>0</v>
      </c>
      <c r="P14" s="800">
        <f t="shared" si="0"/>
        <v>0</v>
      </c>
      <c r="Q14" s="800" t="e">
        <f t="shared" si="0"/>
        <v>#VALUE!</v>
      </c>
      <c r="R14" s="800">
        <f t="shared" si="0"/>
        <v>0</v>
      </c>
      <c r="S14" s="800">
        <f t="shared" si="1"/>
        <v>0</v>
      </c>
      <c r="T14" s="801" t="str">
        <f t="shared" si="2"/>
        <v>-</v>
      </c>
    </row>
    <row r="15" spans="1:20" hidden="1" x14ac:dyDescent="0.25">
      <c r="A15" s="966" t="s">
        <v>1226</v>
      </c>
      <c r="B15" s="969" t="s">
        <v>1227</v>
      </c>
      <c r="C15" s="800">
        <f t="shared" si="0"/>
        <v>0</v>
      </c>
      <c r="D15" s="800">
        <f t="shared" si="0"/>
        <v>0</v>
      </c>
      <c r="E15" s="800" t="e">
        <f t="shared" si="0"/>
        <v>#VALUE!</v>
      </c>
      <c r="F15" s="800">
        <f t="shared" si="0"/>
        <v>0</v>
      </c>
      <c r="G15" s="800">
        <f t="shared" si="0"/>
        <v>0</v>
      </c>
      <c r="H15" s="800" t="e">
        <f t="shared" si="0"/>
        <v>#VALUE!</v>
      </c>
      <c r="I15" s="800">
        <f t="shared" si="0"/>
        <v>0</v>
      </c>
      <c r="J15" s="800">
        <f t="shared" si="0"/>
        <v>0</v>
      </c>
      <c r="K15" s="800" t="e">
        <f t="shared" si="0"/>
        <v>#VALUE!</v>
      </c>
      <c r="L15" s="800">
        <f t="shared" si="0"/>
        <v>0</v>
      </c>
      <c r="M15" s="800">
        <f t="shared" si="0"/>
        <v>0</v>
      </c>
      <c r="N15" s="800" t="e">
        <f t="shared" si="0"/>
        <v>#VALUE!</v>
      </c>
      <c r="O15" s="800">
        <f t="shared" si="0"/>
        <v>0</v>
      </c>
      <c r="P15" s="800">
        <f t="shared" si="0"/>
        <v>0</v>
      </c>
      <c r="Q15" s="800" t="e">
        <f t="shared" si="0"/>
        <v>#VALUE!</v>
      </c>
      <c r="R15" s="800">
        <f t="shared" si="0"/>
        <v>0</v>
      </c>
      <c r="S15" s="800">
        <f t="shared" si="1"/>
        <v>0</v>
      </c>
      <c r="T15" s="801" t="str">
        <f t="shared" si="2"/>
        <v>-</v>
      </c>
    </row>
    <row r="16" spans="1:20" ht="26.4" hidden="1" x14ac:dyDescent="0.25">
      <c r="A16" s="966" t="s">
        <v>879</v>
      </c>
      <c r="B16" s="969" t="s">
        <v>878</v>
      </c>
      <c r="C16" s="800">
        <f t="shared" si="0"/>
        <v>0</v>
      </c>
      <c r="D16" s="800">
        <f t="shared" si="0"/>
        <v>0</v>
      </c>
      <c r="E16" s="800" t="e">
        <f t="shared" si="0"/>
        <v>#VALUE!</v>
      </c>
      <c r="F16" s="800">
        <f t="shared" si="0"/>
        <v>0</v>
      </c>
      <c r="G16" s="800">
        <f t="shared" si="0"/>
        <v>0</v>
      </c>
      <c r="H16" s="800" t="e">
        <f t="shared" si="0"/>
        <v>#VALUE!</v>
      </c>
      <c r="I16" s="800">
        <f t="shared" si="0"/>
        <v>0</v>
      </c>
      <c r="J16" s="800">
        <f t="shared" si="0"/>
        <v>0</v>
      </c>
      <c r="K16" s="800" t="e">
        <f t="shared" si="0"/>
        <v>#VALUE!</v>
      </c>
      <c r="L16" s="800">
        <f t="shared" si="0"/>
        <v>0</v>
      </c>
      <c r="M16" s="800">
        <f t="shared" si="0"/>
        <v>0</v>
      </c>
      <c r="N16" s="800" t="e">
        <f t="shared" si="0"/>
        <v>#VALUE!</v>
      </c>
      <c r="O16" s="800">
        <f t="shared" si="0"/>
        <v>0</v>
      </c>
      <c r="P16" s="800">
        <f t="shared" si="0"/>
        <v>0</v>
      </c>
      <c r="Q16" s="800" t="e">
        <f t="shared" si="0"/>
        <v>#VALUE!</v>
      </c>
      <c r="R16" s="800">
        <f t="shared" si="0"/>
        <v>0</v>
      </c>
      <c r="S16" s="800">
        <f t="shared" si="1"/>
        <v>0</v>
      </c>
      <c r="T16" s="801" t="str">
        <f t="shared" si="2"/>
        <v>-</v>
      </c>
    </row>
    <row r="17" spans="1:20" x14ac:dyDescent="0.25">
      <c r="A17" s="967" t="s">
        <v>14</v>
      </c>
      <c r="B17" s="969" t="s">
        <v>1176</v>
      </c>
      <c r="C17" s="802">
        <v>1</v>
      </c>
      <c r="D17" s="802">
        <v>2</v>
      </c>
      <c r="E17" s="802">
        <v>3</v>
      </c>
      <c r="F17" s="802">
        <v>4</v>
      </c>
      <c r="G17" s="802">
        <v>5</v>
      </c>
      <c r="H17" s="802">
        <v>6</v>
      </c>
      <c r="I17" s="802">
        <v>7</v>
      </c>
      <c r="J17" s="802">
        <v>8</v>
      </c>
      <c r="K17" s="802">
        <v>9</v>
      </c>
      <c r="L17" s="802">
        <v>10</v>
      </c>
      <c r="M17" s="802">
        <v>11</v>
      </c>
      <c r="N17" s="802">
        <v>12</v>
      </c>
      <c r="O17" s="802">
        <v>13</v>
      </c>
      <c r="P17" s="802">
        <v>14</v>
      </c>
      <c r="Q17" s="802">
        <v>15</v>
      </c>
      <c r="R17" s="802">
        <v>16</v>
      </c>
      <c r="S17" s="802">
        <v>17</v>
      </c>
      <c r="T17" s="803">
        <v>18</v>
      </c>
    </row>
    <row r="18" spans="1:20" x14ac:dyDescent="0.25">
      <c r="A18" s="965" t="s">
        <v>1228</v>
      </c>
      <c r="B18" s="969" t="s">
        <v>1229</v>
      </c>
      <c r="C18" s="799">
        <f>+F18+I18+L18+O18+R18</f>
        <v>4373292.2562699998</v>
      </c>
      <c r="D18" s="799">
        <f t="shared" si="0"/>
        <v>3950776.0615999997</v>
      </c>
      <c r="E18" s="800">
        <f t="shared" ref="E18:E81" si="3">IF(C18=0,"-",D18/C18*100)</f>
        <v>90.338715779531142</v>
      </c>
      <c r="F18" s="799">
        <f>+F19+F21+F25+F28</f>
        <v>104883.94443</v>
      </c>
      <c r="G18" s="799">
        <f>+G19+G21+G25+G28</f>
        <v>35232.51109</v>
      </c>
      <c r="H18" s="800">
        <f t="shared" ref="H18:H81" si="4">IF(F18=0,"-",G18/F18*100)</f>
        <v>33.591901297642679</v>
      </c>
      <c r="I18" s="799">
        <f>+I19+I21+I25+I28</f>
        <v>1987982.11766</v>
      </c>
      <c r="J18" s="799">
        <f>+J19+J21+J25+J28</f>
        <v>1954825.5579700002</v>
      </c>
      <c r="K18" s="800">
        <f t="shared" ref="K18:K81" si="5">IF(I18=0,"-",J18/I18*100)</f>
        <v>98.332150002987575</v>
      </c>
      <c r="L18" s="799">
        <f>+L19+L21+L25+L28</f>
        <v>40893.809249999998</v>
      </c>
      <c r="M18" s="799">
        <f>+M19+M21+M25+M28</f>
        <v>40873.436659999999</v>
      </c>
      <c r="N18" s="800">
        <f t="shared" ref="N18:N81" si="6">IF(L18=0,"-",M18/L18*100)</f>
        <v>99.950181725856226</v>
      </c>
      <c r="O18" s="799">
        <f>+O19+O21+O25+O28</f>
        <v>2234523.2949299999</v>
      </c>
      <c r="P18" s="799">
        <f>+P19+P21+P25+P28</f>
        <v>1914835.46588</v>
      </c>
      <c r="Q18" s="800">
        <f t="shared" ref="Q18:Q81" si="7">IF(O18=0,"-",P18/O18*100)</f>
        <v>85.693242501639958</v>
      </c>
      <c r="R18" s="799">
        <f>+R19+R21+R25+R28</f>
        <v>5009.09</v>
      </c>
      <c r="S18" s="799">
        <f>+S19+S21+S25+S28</f>
        <v>5009.09</v>
      </c>
      <c r="T18" s="801">
        <f t="shared" si="2"/>
        <v>100</v>
      </c>
    </row>
    <row r="19" spans="1:20" ht="26.4" x14ac:dyDescent="0.25">
      <c r="A19" s="965" t="s">
        <v>1230</v>
      </c>
      <c r="B19" s="969" t="s">
        <v>1231</v>
      </c>
      <c r="C19" s="799">
        <f t="shared" si="0"/>
        <v>1994271.7590900001</v>
      </c>
      <c r="D19" s="799">
        <f t="shared" si="0"/>
        <v>1961049.1932399999</v>
      </c>
      <c r="E19" s="800">
        <f t="shared" si="3"/>
        <v>98.334100370294578</v>
      </c>
      <c r="F19" s="799">
        <f>SUM(F20)</f>
        <v>11510.36436</v>
      </c>
      <c r="G19" s="799">
        <f>SUM(G20)</f>
        <v>11443.37025</v>
      </c>
      <c r="H19" s="800">
        <f t="shared" si="4"/>
        <v>99.417967078150781</v>
      </c>
      <c r="I19" s="799">
        <f>SUM(I20)</f>
        <v>1982761.3947300001</v>
      </c>
      <c r="J19" s="799">
        <f>SUM(J20)</f>
        <v>1949605.82299</v>
      </c>
      <c r="K19" s="800">
        <f t="shared" si="5"/>
        <v>98.32780828655811</v>
      </c>
      <c r="L19" s="799">
        <f>SUM(L20)</f>
        <v>0</v>
      </c>
      <c r="M19" s="799">
        <f>SUM(M20)</f>
        <v>0</v>
      </c>
      <c r="N19" s="800" t="str">
        <f t="shared" si="6"/>
        <v>-</v>
      </c>
      <c r="O19" s="799">
        <f>SUM(O20)</f>
        <v>0</v>
      </c>
      <c r="P19" s="799">
        <f>SUM(P20)</f>
        <v>0</v>
      </c>
      <c r="Q19" s="800" t="str">
        <f t="shared" si="7"/>
        <v>-</v>
      </c>
      <c r="R19" s="799">
        <f>SUM(R20)</f>
        <v>0</v>
      </c>
      <c r="S19" s="799">
        <f>SUM(S20)</f>
        <v>0</v>
      </c>
      <c r="T19" s="801" t="str">
        <f t="shared" si="2"/>
        <v>-</v>
      </c>
    </row>
    <row r="20" spans="1:20" ht="26.4" x14ac:dyDescent="0.25">
      <c r="A20" s="966" t="s">
        <v>762</v>
      </c>
      <c r="B20" s="969" t="s">
        <v>761</v>
      </c>
      <c r="C20" s="799">
        <f t="shared" si="0"/>
        <v>1994271.7590900001</v>
      </c>
      <c r="D20" s="799">
        <f t="shared" si="0"/>
        <v>1961049.1932399999</v>
      </c>
      <c r="E20" s="800">
        <f t="shared" si="3"/>
        <v>98.334100370294578</v>
      </c>
      <c r="F20" s="799">
        <v>11510.36436</v>
      </c>
      <c r="G20" s="799">
        <v>11443.37025</v>
      </c>
      <c r="H20" s="800">
        <f t="shared" si="4"/>
        <v>99.417967078150781</v>
      </c>
      <c r="I20" s="799">
        <v>1982761.3947300001</v>
      </c>
      <c r="J20" s="799">
        <v>1949605.82299</v>
      </c>
      <c r="K20" s="800">
        <f t="shared" si="5"/>
        <v>98.32780828655811</v>
      </c>
      <c r="L20" s="799"/>
      <c r="M20" s="799"/>
      <c r="N20" s="800" t="str">
        <f t="shared" si="6"/>
        <v>-</v>
      </c>
      <c r="O20" s="799"/>
      <c r="P20" s="799"/>
      <c r="Q20" s="800" t="str">
        <f t="shared" si="7"/>
        <v>-</v>
      </c>
      <c r="R20" s="799"/>
      <c r="S20" s="799"/>
      <c r="T20" s="801" t="str">
        <f t="shared" si="2"/>
        <v>-</v>
      </c>
    </row>
    <row r="21" spans="1:20" ht="39.6" x14ac:dyDescent="0.25">
      <c r="A21" s="965" t="s">
        <v>1232</v>
      </c>
      <c r="B21" s="969" t="s">
        <v>1233</v>
      </c>
      <c r="C21" s="799">
        <f>+F21+I21+L21+O21+R21</f>
        <v>1980929.5343299999</v>
      </c>
      <c r="D21" s="799">
        <f t="shared" si="0"/>
        <v>1661241.7665499998</v>
      </c>
      <c r="E21" s="800">
        <f t="shared" si="3"/>
        <v>83.861729443691374</v>
      </c>
      <c r="F21" s="799">
        <f>SUM(F22:F24)</f>
        <v>17.97</v>
      </c>
      <c r="G21" s="799">
        <f>SUM(G22:G24)</f>
        <v>17.96313</v>
      </c>
      <c r="H21" s="800">
        <f t="shared" si="4"/>
        <v>99.961769616026714</v>
      </c>
      <c r="I21" s="799">
        <f>SUM(I22:I24)</f>
        <v>4082.03</v>
      </c>
      <c r="J21" s="799">
        <f>SUM(J22:J24)</f>
        <v>4082.0156400000001</v>
      </c>
      <c r="K21" s="800">
        <f t="shared" si="5"/>
        <v>99.999648214246335</v>
      </c>
      <c r="L21" s="799">
        <f>SUM(L22:L24)</f>
        <v>0</v>
      </c>
      <c r="M21" s="799">
        <f>SUM(M22:M24)</f>
        <v>0</v>
      </c>
      <c r="N21" s="800" t="str">
        <f t="shared" si="6"/>
        <v>-</v>
      </c>
      <c r="O21" s="799">
        <f>SUM(O22:O24)</f>
        <v>1971895.0443299999</v>
      </c>
      <c r="P21" s="799">
        <f>SUM(P22:P24)</f>
        <v>1652207.2977799999</v>
      </c>
      <c r="Q21" s="800">
        <f t="shared" si="7"/>
        <v>83.78779096437043</v>
      </c>
      <c r="R21" s="799">
        <f>SUM(R22:R24)</f>
        <v>4934.49</v>
      </c>
      <c r="S21" s="799">
        <f>SUM(S22:S24)</f>
        <v>4934.49</v>
      </c>
      <c r="T21" s="801">
        <f t="shared" si="2"/>
        <v>100</v>
      </c>
    </row>
    <row r="22" spans="1:20" ht="26.4" x14ac:dyDescent="0.25">
      <c r="A22" s="966" t="s">
        <v>716</v>
      </c>
      <c r="B22" s="969" t="s">
        <v>715</v>
      </c>
      <c r="C22" s="799">
        <f t="shared" si="0"/>
        <v>1971895.0443299999</v>
      </c>
      <c r="D22" s="799">
        <f t="shared" si="0"/>
        <v>1652207.2977799999</v>
      </c>
      <c r="E22" s="800">
        <f t="shared" si="3"/>
        <v>83.78779096437043</v>
      </c>
      <c r="F22" s="799"/>
      <c r="G22" s="799"/>
      <c r="H22" s="800" t="str">
        <f>IF(F22=0,"-",G22/F22*100)</f>
        <v>-</v>
      </c>
      <c r="I22" s="799"/>
      <c r="J22" s="799"/>
      <c r="K22" s="800" t="str">
        <f t="shared" si="5"/>
        <v>-</v>
      </c>
      <c r="L22" s="799"/>
      <c r="M22" s="799"/>
      <c r="N22" s="800" t="str">
        <f t="shared" si="6"/>
        <v>-</v>
      </c>
      <c r="O22" s="799">
        <v>1971895.0443299999</v>
      </c>
      <c r="P22" s="799">
        <v>1652207.2977799999</v>
      </c>
      <c r="Q22" s="800">
        <f t="shared" si="7"/>
        <v>83.78779096437043</v>
      </c>
      <c r="R22" s="799"/>
      <c r="S22" s="799"/>
      <c r="T22" s="801" t="str">
        <f t="shared" si="2"/>
        <v>-</v>
      </c>
    </row>
    <row r="23" spans="1:20" ht="26.4" x14ac:dyDescent="0.25">
      <c r="A23" s="966" t="s">
        <v>748</v>
      </c>
      <c r="B23" s="970" t="s">
        <v>747</v>
      </c>
      <c r="C23" s="799">
        <f t="shared" si="0"/>
        <v>4934.49</v>
      </c>
      <c r="D23" s="799">
        <f t="shared" si="0"/>
        <v>4934.49</v>
      </c>
      <c r="E23" s="800">
        <f t="shared" si="3"/>
        <v>100</v>
      </c>
      <c r="F23" s="799"/>
      <c r="G23" s="799"/>
      <c r="H23" s="800" t="str">
        <f>IF(F23=0,"-",G23/F23*100)</f>
        <v>-</v>
      </c>
      <c r="I23" s="799"/>
      <c r="J23" s="799"/>
      <c r="K23" s="800" t="str">
        <f t="shared" si="5"/>
        <v>-</v>
      </c>
      <c r="L23" s="799"/>
      <c r="M23" s="799"/>
      <c r="N23" s="800" t="str">
        <f t="shared" si="6"/>
        <v>-</v>
      </c>
      <c r="O23" s="799"/>
      <c r="P23" s="799"/>
      <c r="Q23" s="800" t="str">
        <f t="shared" si="7"/>
        <v>-</v>
      </c>
      <c r="R23" s="799">
        <v>4934.49</v>
      </c>
      <c r="S23" s="799">
        <v>4934.49</v>
      </c>
      <c r="T23" s="801">
        <f t="shared" si="2"/>
        <v>100</v>
      </c>
    </row>
    <row r="24" spans="1:20" ht="26.4" x14ac:dyDescent="0.25">
      <c r="A24" s="966" t="s">
        <v>762</v>
      </c>
      <c r="B24" s="970" t="s">
        <v>761</v>
      </c>
      <c r="C24" s="799">
        <f t="shared" si="0"/>
        <v>4100</v>
      </c>
      <c r="D24" s="799">
        <f t="shared" si="0"/>
        <v>4099.9787699999997</v>
      </c>
      <c r="E24" s="800">
        <f t="shared" si="3"/>
        <v>99.999482195121942</v>
      </c>
      <c r="F24" s="799">
        <v>17.97</v>
      </c>
      <c r="G24" s="799">
        <v>17.96313</v>
      </c>
      <c r="H24" s="800">
        <f>IF(F24=0,"-",G24/F24*100)</f>
        <v>99.961769616026714</v>
      </c>
      <c r="I24" s="799">
        <v>4082.03</v>
      </c>
      <c r="J24" s="799">
        <v>4082.0156400000001</v>
      </c>
      <c r="K24" s="800">
        <f t="shared" si="5"/>
        <v>99.999648214246335</v>
      </c>
      <c r="L24" s="799"/>
      <c r="M24" s="799"/>
      <c r="N24" s="800" t="str">
        <f t="shared" si="6"/>
        <v>-</v>
      </c>
      <c r="O24" s="799"/>
      <c r="P24" s="799"/>
      <c r="Q24" s="800" t="str">
        <f t="shared" si="7"/>
        <v>-</v>
      </c>
      <c r="R24" s="799"/>
      <c r="S24" s="799"/>
      <c r="T24" s="801" t="str">
        <f t="shared" si="2"/>
        <v>-</v>
      </c>
    </row>
    <row r="25" spans="1:20" ht="39.6" x14ac:dyDescent="0.25">
      <c r="A25" s="965" t="s">
        <v>1234</v>
      </c>
      <c r="B25" s="969" t="s">
        <v>1235</v>
      </c>
      <c r="C25" s="799">
        <f t="shared" si="0"/>
        <v>3267.6632500000001</v>
      </c>
      <c r="D25" s="799">
        <f t="shared" si="0"/>
        <v>3244.6262700000002</v>
      </c>
      <c r="E25" s="800">
        <f t="shared" si="3"/>
        <v>99.295001405056055</v>
      </c>
      <c r="F25" s="799">
        <f>SUM(F26:F27)</f>
        <v>281.30106999999998</v>
      </c>
      <c r="G25" s="799">
        <f>SUM(G26:G27)</f>
        <v>279.61027000000001</v>
      </c>
      <c r="H25" s="800">
        <f t="shared" si="4"/>
        <v>99.398935809238125</v>
      </c>
      <c r="I25" s="799">
        <f>SUM(I26:I27)</f>
        <v>1138.6929299999999</v>
      </c>
      <c r="J25" s="799">
        <f>SUM(J26:J27)</f>
        <v>1137.7193400000001</v>
      </c>
      <c r="K25" s="800">
        <f t="shared" si="5"/>
        <v>99.914499337411371</v>
      </c>
      <c r="L25" s="799">
        <f>SUM(L26:L27)</f>
        <v>1773.06925</v>
      </c>
      <c r="M25" s="799">
        <f>SUM(M26:M27)</f>
        <v>1752.6966600000001</v>
      </c>
      <c r="N25" s="800">
        <f t="shared" si="6"/>
        <v>98.850998628508165</v>
      </c>
      <c r="O25" s="799">
        <f>SUM(O26:O27)</f>
        <v>0</v>
      </c>
      <c r="P25" s="799">
        <f>SUM(P26:P27)</f>
        <v>0</v>
      </c>
      <c r="Q25" s="800" t="str">
        <f t="shared" si="7"/>
        <v>-</v>
      </c>
      <c r="R25" s="799">
        <f>SUM(R26:R27)</f>
        <v>74.599999999999994</v>
      </c>
      <c r="S25" s="799">
        <f>SUM(S26:S27)</f>
        <v>74.599999999999994</v>
      </c>
      <c r="T25" s="801">
        <f t="shared" si="2"/>
        <v>100</v>
      </c>
    </row>
    <row r="26" spans="1:20" x14ac:dyDescent="0.25">
      <c r="A26" s="966" t="s">
        <v>850</v>
      </c>
      <c r="B26" s="969" t="s">
        <v>849</v>
      </c>
      <c r="C26" s="799">
        <f t="shared" si="0"/>
        <v>269.89999999999998</v>
      </c>
      <c r="D26" s="799">
        <f t="shared" si="0"/>
        <v>268.8</v>
      </c>
      <c r="E26" s="800">
        <f t="shared" si="3"/>
        <v>99.592441645053725</v>
      </c>
      <c r="F26" s="799">
        <v>269.89999999999998</v>
      </c>
      <c r="G26" s="799">
        <v>268.8</v>
      </c>
      <c r="H26" s="800">
        <f t="shared" si="4"/>
        <v>99.592441645053725</v>
      </c>
      <c r="I26" s="799"/>
      <c r="J26" s="799"/>
      <c r="K26" s="800" t="str">
        <f t="shared" si="5"/>
        <v>-</v>
      </c>
      <c r="L26" s="799"/>
      <c r="M26" s="799"/>
      <c r="N26" s="800" t="str">
        <f t="shared" si="6"/>
        <v>-</v>
      </c>
      <c r="O26" s="799"/>
      <c r="P26" s="799"/>
      <c r="Q26" s="800" t="str">
        <f t="shared" si="7"/>
        <v>-</v>
      </c>
      <c r="R26" s="799"/>
      <c r="S26" s="799"/>
      <c r="T26" s="801" t="str">
        <f t="shared" si="2"/>
        <v>-</v>
      </c>
    </row>
    <row r="27" spans="1:20" ht="26.4" x14ac:dyDescent="0.25">
      <c r="A27" s="966" t="s">
        <v>762</v>
      </c>
      <c r="B27" s="969" t="s">
        <v>761</v>
      </c>
      <c r="C27" s="799">
        <f t="shared" si="0"/>
        <v>2997.7632499999995</v>
      </c>
      <c r="D27" s="799">
        <f t="shared" si="0"/>
        <v>2975.82627</v>
      </c>
      <c r="E27" s="800">
        <f t="shared" si="3"/>
        <v>99.268221731652773</v>
      </c>
      <c r="F27" s="799">
        <v>11.401070000000001</v>
      </c>
      <c r="G27" s="799">
        <v>10.810269999999999</v>
      </c>
      <c r="H27" s="800">
        <f t="shared" si="4"/>
        <v>94.818030237512787</v>
      </c>
      <c r="I27" s="799">
        <v>1138.6929299999999</v>
      </c>
      <c r="J27" s="799">
        <v>1137.7193400000001</v>
      </c>
      <c r="K27" s="800">
        <f>IF(I27=0,"-",J27/I27*100)</f>
        <v>99.914499337411371</v>
      </c>
      <c r="L27" s="799">
        <v>1773.06925</v>
      </c>
      <c r="M27" s="799">
        <v>1752.6966600000001</v>
      </c>
      <c r="N27" s="800">
        <f t="shared" si="6"/>
        <v>98.850998628508165</v>
      </c>
      <c r="O27" s="799"/>
      <c r="P27" s="799"/>
      <c r="Q27" s="800" t="str">
        <f t="shared" si="7"/>
        <v>-</v>
      </c>
      <c r="R27" s="799">
        <v>74.599999999999994</v>
      </c>
      <c r="S27" s="799">
        <v>74.599999999999994</v>
      </c>
      <c r="T27" s="801">
        <f t="shared" si="2"/>
        <v>100</v>
      </c>
    </row>
    <row r="28" spans="1:20" ht="66" x14ac:dyDescent="0.25">
      <c r="A28" s="965" t="s">
        <v>1236</v>
      </c>
      <c r="B28" s="969" t="s">
        <v>1237</v>
      </c>
      <c r="C28" s="799">
        <f t="shared" si="0"/>
        <v>394823.29959999997</v>
      </c>
      <c r="D28" s="799">
        <f t="shared" si="0"/>
        <v>325240.47554000001</v>
      </c>
      <c r="E28" s="800">
        <f t="shared" si="3"/>
        <v>82.376211299967565</v>
      </c>
      <c r="F28" s="799">
        <f>SUM(F29:F30)</f>
        <v>93074.309000000008</v>
      </c>
      <c r="G28" s="799">
        <f>SUM(G29:G30)</f>
        <v>23491.567439999999</v>
      </c>
      <c r="H28" s="800">
        <f t="shared" si="4"/>
        <v>25.239582965907374</v>
      </c>
      <c r="I28" s="799">
        <f>SUM(I29:I30)</f>
        <v>0</v>
      </c>
      <c r="J28" s="799">
        <f>SUM(J29:J30)</f>
        <v>0</v>
      </c>
      <c r="K28" s="800" t="str">
        <f t="shared" si="5"/>
        <v>-</v>
      </c>
      <c r="L28" s="799">
        <f>SUM(L29:L30)</f>
        <v>39120.74</v>
      </c>
      <c r="M28" s="799">
        <f>SUM(M29:M30)</f>
        <v>39120.74</v>
      </c>
      <c r="N28" s="800">
        <f t="shared" si="6"/>
        <v>100</v>
      </c>
      <c r="O28" s="799">
        <f>SUM(O29:O30)</f>
        <v>262628.25059999997</v>
      </c>
      <c r="P28" s="799">
        <f>SUM(P29:P30)</f>
        <v>262628.16810000001</v>
      </c>
      <c r="Q28" s="800">
        <f t="shared" si="7"/>
        <v>99.999968586776262</v>
      </c>
      <c r="R28" s="799">
        <f>SUM(R29:R30)</f>
        <v>0</v>
      </c>
      <c r="S28" s="799">
        <f>SUM(S29:S30)</f>
        <v>0</v>
      </c>
      <c r="T28" s="801" t="str">
        <f t="shared" si="2"/>
        <v>-</v>
      </c>
    </row>
    <row r="29" spans="1:20" ht="26.4" x14ac:dyDescent="0.25">
      <c r="A29" s="966" t="s">
        <v>716</v>
      </c>
      <c r="B29" s="969" t="s">
        <v>715</v>
      </c>
      <c r="C29" s="799">
        <f t="shared" si="0"/>
        <v>274270.35560000001</v>
      </c>
      <c r="D29" s="799">
        <f t="shared" si="0"/>
        <v>204687.61403999999</v>
      </c>
      <c r="E29" s="800">
        <f t="shared" si="3"/>
        <v>74.629871533954429</v>
      </c>
      <c r="F29" s="799">
        <v>80364.509000000005</v>
      </c>
      <c r="G29" s="799">
        <v>10781.76744</v>
      </c>
      <c r="H29" s="800">
        <f t="shared" si="4"/>
        <v>13.416080772670433</v>
      </c>
      <c r="I29" s="799"/>
      <c r="J29" s="799"/>
      <c r="K29" s="800" t="str">
        <f t="shared" si="5"/>
        <v>-</v>
      </c>
      <c r="L29" s="799"/>
      <c r="M29" s="799"/>
      <c r="N29" s="800" t="str">
        <f t="shared" si="6"/>
        <v>-</v>
      </c>
      <c r="O29" s="799">
        <v>193905.84659999999</v>
      </c>
      <c r="P29" s="799">
        <v>193905.84659999999</v>
      </c>
      <c r="Q29" s="800">
        <f t="shared" si="7"/>
        <v>100</v>
      </c>
      <c r="R29" s="799"/>
      <c r="S29" s="799"/>
      <c r="T29" s="801" t="str">
        <f t="shared" si="2"/>
        <v>-</v>
      </c>
    </row>
    <row r="30" spans="1:20" x14ac:dyDescent="0.25">
      <c r="A30" s="966" t="s">
        <v>1238</v>
      </c>
      <c r="B30" s="969" t="s">
        <v>1239</v>
      </c>
      <c r="C30" s="799">
        <f t="shared" si="0"/>
        <v>120552.94399999999</v>
      </c>
      <c r="D30" s="799">
        <f t="shared" si="0"/>
        <v>120552.8615</v>
      </c>
      <c r="E30" s="800">
        <f t="shared" si="3"/>
        <v>99.999931565337803</v>
      </c>
      <c r="F30" s="799">
        <v>12709.8</v>
      </c>
      <c r="G30" s="799">
        <v>12709.8</v>
      </c>
      <c r="H30" s="800">
        <f t="shared" si="4"/>
        <v>100</v>
      </c>
      <c r="I30" s="799"/>
      <c r="J30" s="799"/>
      <c r="K30" s="800" t="str">
        <f t="shared" si="5"/>
        <v>-</v>
      </c>
      <c r="L30" s="799">
        <v>39120.74</v>
      </c>
      <c r="M30" s="799">
        <v>39120.74</v>
      </c>
      <c r="N30" s="800">
        <f t="shared" si="6"/>
        <v>100</v>
      </c>
      <c r="O30" s="799">
        <v>68722.403999999995</v>
      </c>
      <c r="P30" s="799">
        <v>68722.321500000005</v>
      </c>
      <c r="Q30" s="800">
        <f t="shared" si="7"/>
        <v>99.999879951813114</v>
      </c>
      <c r="R30" s="799"/>
      <c r="S30" s="799"/>
      <c r="T30" s="801" t="str">
        <f t="shared" si="2"/>
        <v>-</v>
      </c>
    </row>
    <row r="31" spans="1:20" ht="39.6" x14ac:dyDescent="0.25">
      <c r="A31" s="965" t="s">
        <v>1240</v>
      </c>
      <c r="B31" s="969" t="s">
        <v>1241</v>
      </c>
      <c r="C31" s="799">
        <f t="shared" si="0"/>
        <v>368003.52496999991</v>
      </c>
      <c r="D31" s="799">
        <f t="shared" si="0"/>
        <v>368003.52456999995</v>
      </c>
      <c r="E31" s="800">
        <f t="shared" si="3"/>
        <v>99.999999891305407</v>
      </c>
      <c r="F31" s="799">
        <f>+F32+F35+F37+F39</f>
        <v>0</v>
      </c>
      <c r="G31" s="799">
        <f>+G32+G35+G37+G39</f>
        <v>0</v>
      </c>
      <c r="H31" s="800" t="str">
        <f t="shared" si="4"/>
        <v>-</v>
      </c>
      <c r="I31" s="799">
        <f>+I32+I35+I37+I39</f>
        <v>0</v>
      </c>
      <c r="J31" s="799">
        <f>+J32+J35+J37+J39</f>
        <v>0</v>
      </c>
      <c r="K31" s="800" t="str">
        <f t="shared" si="5"/>
        <v>-</v>
      </c>
      <c r="L31" s="799">
        <f>+L32+L35+L37+L39</f>
        <v>356332.19826999994</v>
      </c>
      <c r="M31" s="799">
        <f>+M32+M35+M37+M39</f>
        <v>356332.19786999997</v>
      </c>
      <c r="N31" s="800">
        <f t="shared" si="6"/>
        <v>99.999999887745204</v>
      </c>
      <c r="O31" s="799">
        <f>+O32+O35+O37+O39</f>
        <v>0</v>
      </c>
      <c r="P31" s="799">
        <f>+P32+P35+P37+P39</f>
        <v>0</v>
      </c>
      <c r="Q31" s="800" t="str">
        <f t="shared" si="7"/>
        <v>-</v>
      </c>
      <c r="R31" s="799">
        <f>+R32+R35+R37+R39</f>
        <v>11671.3267</v>
      </c>
      <c r="S31" s="799">
        <f>+S32+S35+S37+S39</f>
        <v>11671.3267</v>
      </c>
      <c r="T31" s="801">
        <f t="shared" si="2"/>
        <v>100</v>
      </c>
    </row>
    <row r="32" spans="1:20" ht="39.6" x14ac:dyDescent="0.25">
      <c r="A32" s="965" t="s">
        <v>1242</v>
      </c>
      <c r="B32" s="969" t="s">
        <v>1243</v>
      </c>
      <c r="C32" s="799">
        <f>+F32+I32+L32+O32+R32</f>
        <v>135201.42876000001</v>
      </c>
      <c r="D32" s="799">
        <f t="shared" si="0"/>
        <v>135201.42876000001</v>
      </c>
      <c r="E32" s="800">
        <f t="shared" si="3"/>
        <v>100</v>
      </c>
      <c r="F32" s="799">
        <f>SUM(F33:F34)</f>
        <v>0</v>
      </c>
      <c r="G32" s="799">
        <f>SUM(G33:G34)</f>
        <v>0</v>
      </c>
      <c r="H32" s="800" t="str">
        <f t="shared" si="4"/>
        <v>-</v>
      </c>
      <c r="I32" s="799">
        <f>SUM(I33:I34)</f>
        <v>0</v>
      </c>
      <c r="J32" s="799">
        <f>SUM(J33:J34)</f>
        <v>0</v>
      </c>
      <c r="K32" s="800" t="str">
        <f t="shared" si="5"/>
        <v>-</v>
      </c>
      <c r="L32" s="799">
        <f>SUM(L33:L34)</f>
        <v>129830.10206</v>
      </c>
      <c r="M32" s="799">
        <f>SUM(M33:M34)</f>
        <v>129830.10206</v>
      </c>
      <c r="N32" s="800">
        <f t="shared" si="6"/>
        <v>100</v>
      </c>
      <c r="O32" s="799">
        <f>SUM(O33:O34)</f>
        <v>0</v>
      </c>
      <c r="P32" s="799">
        <f>SUM(P33:P34)</f>
        <v>0</v>
      </c>
      <c r="Q32" s="800" t="str">
        <f t="shared" si="7"/>
        <v>-</v>
      </c>
      <c r="R32" s="799">
        <f>SUM(R33:R34)</f>
        <v>5371.3266999999996</v>
      </c>
      <c r="S32" s="799">
        <f>SUM(S33:S34)</f>
        <v>5371.3266999999996</v>
      </c>
      <c r="T32" s="801">
        <f t="shared" si="2"/>
        <v>100</v>
      </c>
    </row>
    <row r="33" spans="1:20" ht="26.4" x14ac:dyDescent="0.25">
      <c r="A33" s="966" t="s">
        <v>756</v>
      </c>
      <c r="B33" s="969" t="s">
        <v>1244</v>
      </c>
      <c r="C33" s="799">
        <f t="shared" si="0"/>
        <v>129830.10206</v>
      </c>
      <c r="D33" s="799">
        <f t="shared" si="0"/>
        <v>129830.10206</v>
      </c>
      <c r="E33" s="800">
        <f t="shared" si="3"/>
        <v>100</v>
      </c>
      <c r="F33" s="799"/>
      <c r="G33" s="799"/>
      <c r="H33" s="800" t="str">
        <f t="shared" si="4"/>
        <v>-</v>
      </c>
      <c r="I33" s="799"/>
      <c r="J33" s="799"/>
      <c r="K33" s="800" t="str">
        <f t="shared" si="5"/>
        <v>-</v>
      </c>
      <c r="L33" s="799">
        <v>129830.10206</v>
      </c>
      <c r="M33" s="799">
        <v>129830.10206</v>
      </c>
      <c r="N33" s="800">
        <f t="shared" si="6"/>
        <v>100</v>
      </c>
      <c r="O33" s="799"/>
      <c r="P33" s="799"/>
      <c r="Q33" s="800" t="str">
        <f t="shared" si="7"/>
        <v>-</v>
      </c>
      <c r="R33" s="799"/>
      <c r="S33" s="799"/>
      <c r="T33" s="801" t="str">
        <f t="shared" si="2"/>
        <v>-</v>
      </c>
    </row>
    <row r="34" spans="1:20" ht="26.4" x14ac:dyDescent="0.25">
      <c r="A34" s="966" t="s">
        <v>966</v>
      </c>
      <c r="B34" s="969">
        <v>163</v>
      </c>
      <c r="C34" s="799">
        <f t="shared" si="0"/>
        <v>5371.3266999999996</v>
      </c>
      <c r="D34" s="799">
        <f t="shared" si="0"/>
        <v>5371.3266999999996</v>
      </c>
      <c r="E34" s="800">
        <f t="shared" si="3"/>
        <v>100</v>
      </c>
      <c r="F34" s="799"/>
      <c r="G34" s="799"/>
      <c r="H34" s="800" t="str">
        <f t="shared" si="4"/>
        <v>-</v>
      </c>
      <c r="I34" s="799"/>
      <c r="J34" s="799"/>
      <c r="K34" s="800" t="str">
        <f t="shared" si="5"/>
        <v>-</v>
      </c>
      <c r="L34" s="799"/>
      <c r="M34" s="799"/>
      <c r="N34" s="800" t="str">
        <f t="shared" si="6"/>
        <v>-</v>
      </c>
      <c r="O34" s="799"/>
      <c r="P34" s="799"/>
      <c r="Q34" s="800" t="str">
        <f t="shared" si="7"/>
        <v>-</v>
      </c>
      <c r="R34" s="799">
        <v>5371.3266999999996</v>
      </c>
      <c r="S34" s="799">
        <v>5371.3266999999996</v>
      </c>
      <c r="T34" s="801">
        <f t="shared" si="2"/>
        <v>100</v>
      </c>
    </row>
    <row r="35" spans="1:20" ht="26.4" x14ac:dyDescent="0.25">
      <c r="A35" s="965" t="s">
        <v>1245</v>
      </c>
      <c r="B35" s="969" t="s">
        <v>1246</v>
      </c>
      <c r="C35" s="799">
        <f t="shared" si="0"/>
        <v>213427.19740999999</v>
      </c>
      <c r="D35" s="799">
        <f t="shared" si="0"/>
        <v>213427.19701</v>
      </c>
      <c r="E35" s="800">
        <f t="shared" si="3"/>
        <v>99.999999812582459</v>
      </c>
      <c r="F35" s="799">
        <f>SUM(F36)</f>
        <v>0</v>
      </c>
      <c r="G35" s="799">
        <f>SUM(G36)</f>
        <v>0</v>
      </c>
      <c r="H35" s="800" t="str">
        <f t="shared" si="4"/>
        <v>-</v>
      </c>
      <c r="I35" s="799">
        <f>SUM(I36)</f>
        <v>0</v>
      </c>
      <c r="J35" s="799">
        <f>SUM(J36)</f>
        <v>0</v>
      </c>
      <c r="K35" s="800" t="str">
        <f t="shared" si="5"/>
        <v>-</v>
      </c>
      <c r="L35" s="799">
        <f>SUM(L36)</f>
        <v>213427.19740999999</v>
      </c>
      <c r="M35" s="799">
        <f>SUM(M36)</f>
        <v>213427.19701</v>
      </c>
      <c r="N35" s="800">
        <f t="shared" si="6"/>
        <v>99.999999812582459</v>
      </c>
      <c r="O35" s="799">
        <f>SUM(O36)</f>
        <v>0</v>
      </c>
      <c r="P35" s="799">
        <f>SUM(P36)</f>
        <v>0</v>
      </c>
      <c r="Q35" s="800" t="str">
        <f t="shared" si="7"/>
        <v>-</v>
      </c>
      <c r="R35" s="799">
        <f>SUM(R36)</f>
        <v>0</v>
      </c>
      <c r="S35" s="799">
        <f>SUM(S36)</f>
        <v>0</v>
      </c>
      <c r="T35" s="801" t="str">
        <f t="shared" si="2"/>
        <v>-</v>
      </c>
    </row>
    <row r="36" spans="1:20" ht="26.4" x14ac:dyDescent="0.25">
      <c r="A36" s="966" t="s">
        <v>756</v>
      </c>
      <c r="B36" s="969">
        <v>138</v>
      </c>
      <c r="C36" s="799">
        <f t="shared" si="0"/>
        <v>213427.19740999999</v>
      </c>
      <c r="D36" s="799">
        <f t="shared" si="0"/>
        <v>213427.19701</v>
      </c>
      <c r="E36" s="800">
        <f t="shared" si="3"/>
        <v>99.999999812582459</v>
      </c>
      <c r="F36" s="799"/>
      <c r="G36" s="799"/>
      <c r="H36" s="800" t="str">
        <f t="shared" si="4"/>
        <v>-</v>
      </c>
      <c r="I36" s="799"/>
      <c r="J36" s="799"/>
      <c r="K36" s="800" t="str">
        <f t="shared" si="5"/>
        <v>-</v>
      </c>
      <c r="L36" s="799">
        <v>213427.19740999999</v>
      </c>
      <c r="M36" s="799">
        <v>213427.19701</v>
      </c>
      <c r="N36" s="800">
        <f t="shared" si="6"/>
        <v>99.999999812582459</v>
      </c>
      <c r="O36" s="799"/>
      <c r="P36" s="799"/>
      <c r="Q36" s="800" t="str">
        <f t="shared" si="7"/>
        <v>-</v>
      </c>
      <c r="R36" s="799"/>
      <c r="S36" s="799"/>
      <c r="T36" s="801" t="str">
        <f t="shared" si="2"/>
        <v>-</v>
      </c>
    </row>
    <row r="37" spans="1:20" ht="26.4" x14ac:dyDescent="0.25">
      <c r="A37" s="965" t="s">
        <v>1247</v>
      </c>
      <c r="B37" s="969" t="s">
        <v>1248</v>
      </c>
      <c r="C37" s="799">
        <f t="shared" si="0"/>
        <v>9684.4897999999994</v>
      </c>
      <c r="D37" s="799">
        <f t="shared" si="0"/>
        <v>9684.4897999999994</v>
      </c>
      <c r="E37" s="800">
        <f t="shared" si="3"/>
        <v>100</v>
      </c>
      <c r="F37" s="799">
        <f>SUM(F38)</f>
        <v>0</v>
      </c>
      <c r="G37" s="799">
        <f>SUM(G38)</f>
        <v>0</v>
      </c>
      <c r="H37" s="800" t="str">
        <f t="shared" si="4"/>
        <v>-</v>
      </c>
      <c r="I37" s="799">
        <f>SUM(I38)</f>
        <v>0</v>
      </c>
      <c r="J37" s="799">
        <f>SUM(J38)</f>
        <v>0</v>
      </c>
      <c r="K37" s="800" t="str">
        <f t="shared" si="5"/>
        <v>-</v>
      </c>
      <c r="L37" s="799">
        <f>SUM(L38)</f>
        <v>3384.4897999999998</v>
      </c>
      <c r="M37" s="799">
        <f>SUM(M38)</f>
        <v>3384.4897999999998</v>
      </c>
      <c r="N37" s="800">
        <f t="shared" si="6"/>
        <v>100</v>
      </c>
      <c r="O37" s="799">
        <f>SUM(O38)</f>
        <v>0</v>
      </c>
      <c r="P37" s="799">
        <f>SUM(P38)</f>
        <v>0</v>
      </c>
      <c r="Q37" s="800" t="str">
        <f t="shared" si="7"/>
        <v>-</v>
      </c>
      <c r="R37" s="799">
        <f>SUM(R38)</f>
        <v>6300</v>
      </c>
      <c r="S37" s="799">
        <f>SUM(S38)</f>
        <v>6300</v>
      </c>
      <c r="T37" s="801">
        <f t="shared" si="2"/>
        <v>100</v>
      </c>
    </row>
    <row r="38" spans="1:20" ht="26.4" x14ac:dyDescent="0.25">
      <c r="A38" s="966" t="s">
        <v>1249</v>
      </c>
      <c r="B38" s="969" t="s">
        <v>1250</v>
      </c>
      <c r="C38" s="799">
        <f t="shared" si="0"/>
        <v>9684.4897999999994</v>
      </c>
      <c r="D38" s="799">
        <f t="shared" si="0"/>
        <v>9684.4897999999994</v>
      </c>
      <c r="E38" s="800">
        <f t="shared" si="3"/>
        <v>100</v>
      </c>
      <c r="F38" s="799"/>
      <c r="G38" s="799"/>
      <c r="H38" s="800" t="str">
        <f t="shared" si="4"/>
        <v>-</v>
      </c>
      <c r="I38" s="799"/>
      <c r="J38" s="799"/>
      <c r="K38" s="800" t="str">
        <f t="shared" si="5"/>
        <v>-</v>
      </c>
      <c r="L38" s="799">
        <v>3384.4897999999998</v>
      </c>
      <c r="M38" s="799">
        <v>3384.4897999999998</v>
      </c>
      <c r="N38" s="800">
        <f t="shared" si="6"/>
        <v>100</v>
      </c>
      <c r="O38" s="799"/>
      <c r="P38" s="799"/>
      <c r="Q38" s="800" t="str">
        <f t="shared" si="7"/>
        <v>-</v>
      </c>
      <c r="R38" s="799">
        <v>6300</v>
      </c>
      <c r="S38" s="799">
        <v>6300</v>
      </c>
      <c r="T38" s="801">
        <f t="shared" si="2"/>
        <v>100</v>
      </c>
    </row>
    <row r="39" spans="1:20" ht="26.4" x14ac:dyDescent="0.25">
      <c r="A39" s="965" t="s">
        <v>1251</v>
      </c>
      <c r="B39" s="969" t="s">
        <v>1252</v>
      </c>
      <c r="C39" s="799">
        <f t="shared" si="0"/>
        <v>9690.4089999999997</v>
      </c>
      <c r="D39" s="799">
        <f t="shared" si="0"/>
        <v>9690.4089999999997</v>
      </c>
      <c r="E39" s="800">
        <f t="shared" si="3"/>
        <v>100</v>
      </c>
      <c r="F39" s="799">
        <f>SUM(F40:F40)</f>
        <v>0</v>
      </c>
      <c r="G39" s="799">
        <f>SUM(G40:G40)</f>
        <v>0</v>
      </c>
      <c r="H39" s="800" t="str">
        <f t="shared" si="4"/>
        <v>-</v>
      </c>
      <c r="I39" s="799">
        <f>SUM(I40:I40)</f>
        <v>0</v>
      </c>
      <c r="J39" s="799">
        <f>SUM(J40:J40)</f>
        <v>0</v>
      </c>
      <c r="K39" s="800" t="str">
        <f t="shared" si="5"/>
        <v>-</v>
      </c>
      <c r="L39" s="799">
        <f>SUM(L40:L40)</f>
        <v>9690.4089999999997</v>
      </c>
      <c r="M39" s="799">
        <f>SUM(M40:M40)</f>
        <v>9690.4089999999997</v>
      </c>
      <c r="N39" s="800">
        <f t="shared" si="6"/>
        <v>100</v>
      </c>
      <c r="O39" s="799">
        <f>SUM(O40:O40)</f>
        <v>0</v>
      </c>
      <c r="P39" s="799">
        <f>SUM(P40:P40)</f>
        <v>0</v>
      </c>
      <c r="Q39" s="800" t="str">
        <f t="shared" si="7"/>
        <v>-</v>
      </c>
      <c r="R39" s="799">
        <f>SUM(R40:R40)</f>
        <v>0</v>
      </c>
      <c r="S39" s="799">
        <f>SUM(S40:S40)</f>
        <v>0</v>
      </c>
      <c r="T39" s="801" t="str">
        <f t="shared" si="2"/>
        <v>-</v>
      </c>
    </row>
    <row r="40" spans="1:20" ht="26.4" x14ac:dyDescent="0.25">
      <c r="A40" s="966" t="s">
        <v>756</v>
      </c>
      <c r="B40" s="969">
        <v>138</v>
      </c>
      <c r="C40" s="799">
        <f t="shared" si="0"/>
        <v>9690.4089999999997</v>
      </c>
      <c r="D40" s="799">
        <f t="shared" si="0"/>
        <v>9690.4089999999997</v>
      </c>
      <c r="E40" s="800">
        <f t="shared" si="3"/>
        <v>100</v>
      </c>
      <c r="F40" s="799"/>
      <c r="G40" s="799"/>
      <c r="H40" s="800" t="str">
        <f t="shared" si="4"/>
        <v>-</v>
      </c>
      <c r="I40" s="799"/>
      <c r="J40" s="799"/>
      <c r="K40" s="800" t="str">
        <f t="shared" si="5"/>
        <v>-</v>
      </c>
      <c r="L40" s="799">
        <v>9690.4089999999997</v>
      </c>
      <c r="M40" s="799">
        <v>9690.4089999999997</v>
      </c>
      <c r="N40" s="800">
        <f t="shared" si="6"/>
        <v>100</v>
      </c>
      <c r="O40" s="799"/>
      <c r="P40" s="799"/>
      <c r="Q40" s="800" t="str">
        <f t="shared" si="7"/>
        <v>-</v>
      </c>
      <c r="R40" s="799"/>
      <c r="S40" s="799"/>
      <c r="T40" s="801" t="str">
        <f t="shared" si="2"/>
        <v>-</v>
      </c>
    </row>
    <row r="41" spans="1:20" x14ac:dyDescent="0.25">
      <c r="A41" s="965" t="s">
        <v>1253</v>
      </c>
      <c r="B41" s="969" t="s">
        <v>1254</v>
      </c>
      <c r="C41" s="799">
        <f>+F41+I41+L41+O41+R41</f>
        <v>309763.67960000003</v>
      </c>
      <c r="D41" s="799">
        <f t="shared" si="0"/>
        <v>309763.27153999999</v>
      </c>
      <c r="E41" s="800">
        <f t="shared" si="3"/>
        <v>99.999868267318959</v>
      </c>
      <c r="F41" s="799">
        <f>+F44+F46+F42</f>
        <v>0</v>
      </c>
      <c r="G41" s="799">
        <f>+G44+G46+G42</f>
        <v>0</v>
      </c>
      <c r="H41" s="800" t="str">
        <f t="shared" si="4"/>
        <v>-</v>
      </c>
      <c r="I41" s="799">
        <f>+I44+I46+I42</f>
        <v>0</v>
      </c>
      <c r="J41" s="799">
        <f>+J44+J46+J42</f>
        <v>0</v>
      </c>
      <c r="K41" s="800" t="str">
        <f t="shared" si="5"/>
        <v>-</v>
      </c>
      <c r="L41" s="799">
        <f>+L44+L46+L42</f>
        <v>114907.8</v>
      </c>
      <c r="M41" s="799">
        <f>+M44+M46+M42</f>
        <v>114907.59602</v>
      </c>
      <c r="N41" s="800">
        <f t="shared" si="6"/>
        <v>99.999822483765243</v>
      </c>
      <c r="O41" s="799">
        <f>+O44+O46+O42</f>
        <v>86893.979600000006</v>
      </c>
      <c r="P41" s="799">
        <f>+P44+P46+P42</f>
        <v>86893.775519999996</v>
      </c>
      <c r="Q41" s="800">
        <f t="shared" si="7"/>
        <v>99.999765139079884</v>
      </c>
      <c r="R41" s="799">
        <f>+R44+R46+R42</f>
        <v>107961.9</v>
      </c>
      <c r="S41" s="799">
        <f>+S44+S46+S42</f>
        <v>107961.9</v>
      </c>
      <c r="T41" s="801">
        <f t="shared" si="2"/>
        <v>100</v>
      </c>
    </row>
    <row r="42" spans="1:20" ht="26.4" x14ac:dyDescent="0.25">
      <c r="A42" s="965" t="s">
        <v>1255</v>
      </c>
      <c r="B42" s="969" t="s">
        <v>1256</v>
      </c>
      <c r="C42" s="799">
        <f t="shared" ref="C42:C43" si="8">+F42+I42+L42+O42+R42</f>
        <v>107961.9</v>
      </c>
      <c r="D42" s="799">
        <f t="shared" si="0"/>
        <v>107961.9</v>
      </c>
      <c r="E42" s="800">
        <f t="shared" si="3"/>
        <v>100</v>
      </c>
      <c r="F42" s="799">
        <f>+F43</f>
        <v>0</v>
      </c>
      <c r="G42" s="799">
        <f>+G43</f>
        <v>0</v>
      </c>
      <c r="H42" s="800" t="str">
        <f t="shared" si="4"/>
        <v>-</v>
      </c>
      <c r="I42" s="799">
        <f>+I43</f>
        <v>0</v>
      </c>
      <c r="J42" s="799">
        <f>+J43</f>
        <v>0</v>
      </c>
      <c r="K42" s="800" t="str">
        <f t="shared" si="5"/>
        <v>-</v>
      </c>
      <c r="L42" s="799">
        <f>+L43</f>
        <v>0</v>
      </c>
      <c r="M42" s="799">
        <f>+M43</f>
        <v>0</v>
      </c>
      <c r="N42" s="800" t="str">
        <f t="shared" si="6"/>
        <v>-</v>
      </c>
      <c r="O42" s="799">
        <f>+O43</f>
        <v>0</v>
      </c>
      <c r="P42" s="799">
        <f>+P43</f>
        <v>0</v>
      </c>
      <c r="Q42" s="800" t="str">
        <f t="shared" si="7"/>
        <v>-</v>
      </c>
      <c r="R42" s="799">
        <f>+R43</f>
        <v>107961.9</v>
      </c>
      <c r="S42" s="799">
        <f>+S43</f>
        <v>107961.9</v>
      </c>
      <c r="T42" s="801">
        <f t="shared" si="2"/>
        <v>100</v>
      </c>
    </row>
    <row r="43" spans="1:20" ht="26.4" x14ac:dyDescent="0.25">
      <c r="A43" s="966" t="s">
        <v>739</v>
      </c>
      <c r="B43" s="970" t="s">
        <v>738</v>
      </c>
      <c r="C43" s="799">
        <f t="shared" si="8"/>
        <v>107961.9</v>
      </c>
      <c r="D43" s="799">
        <f t="shared" si="0"/>
        <v>107961.9</v>
      </c>
      <c r="E43" s="800">
        <f t="shared" si="3"/>
        <v>100</v>
      </c>
      <c r="F43" s="799"/>
      <c r="G43" s="799"/>
      <c r="H43" s="800" t="str">
        <f t="shared" si="4"/>
        <v>-</v>
      </c>
      <c r="I43" s="799"/>
      <c r="J43" s="799"/>
      <c r="K43" s="800" t="str">
        <f t="shared" si="5"/>
        <v>-</v>
      </c>
      <c r="L43" s="799"/>
      <c r="M43" s="799"/>
      <c r="N43" s="800" t="str">
        <f t="shared" si="6"/>
        <v>-</v>
      </c>
      <c r="O43" s="799"/>
      <c r="P43" s="799"/>
      <c r="Q43" s="800" t="str">
        <f t="shared" si="7"/>
        <v>-</v>
      </c>
      <c r="R43" s="799">
        <v>107961.9</v>
      </c>
      <c r="S43" s="799">
        <v>107961.9</v>
      </c>
      <c r="T43" s="801">
        <f t="shared" si="2"/>
        <v>100</v>
      </c>
    </row>
    <row r="44" spans="1:20" x14ac:dyDescent="0.25">
      <c r="A44" s="965" t="s">
        <v>1257</v>
      </c>
      <c r="B44" s="969" t="s">
        <v>1258</v>
      </c>
      <c r="C44" s="799">
        <f t="shared" si="0"/>
        <v>86893.979600000006</v>
      </c>
      <c r="D44" s="799">
        <f t="shared" si="0"/>
        <v>86893.775519999996</v>
      </c>
      <c r="E44" s="800">
        <f t="shared" si="3"/>
        <v>99.999765139079884</v>
      </c>
      <c r="F44" s="799">
        <f>SUM(F45)</f>
        <v>0</v>
      </c>
      <c r="G44" s="799">
        <f>SUM(G45)</f>
        <v>0</v>
      </c>
      <c r="H44" s="800" t="str">
        <f t="shared" si="4"/>
        <v>-</v>
      </c>
      <c r="I44" s="799">
        <f>SUM(I45)</f>
        <v>0</v>
      </c>
      <c r="J44" s="799">
        <f>SUM(J45)</f>
        <v>0</v>
      </c>
      <c r="K44" s="800" t="str">
        <f t="shared" si="5"/>
        <v>-</v>
      </c>
      <c r="L44" s="799">
        <f>SUM(L45)</f>
        <v>0</v>
      </c>
      <c r="M44" s="799">
        <f>SUM(M45)</f>
        <v>0</v>
      </c>
      <c r="N44" s="800" t="str">
        <f t="shared" si="6"/>
        <v>-</v>
      </c>
      <c r="O44" s="799">
        <f>SUM(O45)</f>
        <v>86893.979600000006</v>
      </c>
      <c r="P44" s="799">
        <f>SUM(P45)</f>
        <v>86893.775519999996</v>
      </c>
      <c r="Q44" s="800">
        <f t="shared" si="7"/>
        <v>99.999765139079884</v>
      </c>
      <c r="R44" s="799">
        <f>SUM(R45)</f>
        <v>0</v>
      </c>
      <c r="S44" s="799">
        <f>SUM(S45)</f>
        <v>0</v>
      </c>
      <c r="T44" s="801" t="str">
        <f t="shared" si="2"/>
        <v>-</v>
      </c>
    </row>
    <row r="45" spans="1:20" ht="39.6" x14ac:dyDescent="0.25">
      <c r="A45" s="966" t="s">
        <v>830</v>
      </c>
      <c r="B45" s="969" t="s">
        <v>829</v>
      </c>
      <c r="C45" s="799">
        <f t="shared" si="0"/>
        <v>86893.979600000006</v>
      </c>
      <c r="D45" s="799">
        <f t="shared" si="0"/>
        <v>86893.775519999996</v>
      </c>
      <c r="E45" s="800">
        <f t="shared" si="3"/>
        <v>99.999765139079884</v>
      </c>
      <c r="F45" s="799"/>
      <c r="G45" s="799"/>
      <c r="H45" s="800" t="str">
        <f t="shared" si="4"/>
        <v>-</v>
      </c>
      <c r="I45" s="799"/>
      <c r="J45" s="799"/>
      <c r="K45" s="800" t="str">
        <f t="shared" si="5"/>
        <v>-</v>
      </c>
      <c r="L45" s="799"/>
      <c r="M45" s="799"/>
      <c r="N45" s="800" t="str">
        <f t="shared" si="6"/>
        <v>-</v>
      </c>
      <c r="O45" s="799">
        <v>86893.979600000006</v>
      </c>
      <c r="P45" s="799">
        <v>86893.775519999996</v>
      </c>
      <c r="Q45" s="800">
        <f t="shared" si="7"/>
        <v>99.999765139079884</v>
      </c>
      <c r="R45" s="799"/>
      <c r="S45" s="799"/>
      <c r="T45" s="801" t="str">
        <f t="shared" si="2"/>
        <v>-</v>
      </c>
    </row>
    <row r="46" spans="1:20" x14ac:dyDescent="0.25">
      <c r="A46" s="965" t="s">
        <v>1259</v>
      </c>
      <c r="B46" s="969" t="s">
        <v>1260</v>
      </c>
      <c r="C46" s="799">
        <f t="shared" si="0"/>
        <v>114907.8</v>
      </c>
      <c r="D46" s="799">
        <f t="shared" si="0"/>
        <v>114907.59602</v>
      </c>
      <c r="E46" s="800">
        <f t="shared" si="3"/>
        <v>99.999822483765243</v>
      </c>
      <c r="F46" s="799">
        <f>SUM(F47)</f>
        <v>0</v>
      </c>
      <c r="G46" s="799">
        <f>SUM(G47)</f>
        <v>0</v>
      </c>
      <c r="H46" s="800" t="str">
        <f t="shared" si="4"/>
        <v>-</v>
      </c>
      <c r="I46" s="799">
        <f>SUM(I47)</f>
        <v>0</v>
      </c>
      <c r="J46" s="799">
        <f>SUM(J47)</f>
        <v>0</v>
      </c>
      <c r="K46" s="800" t="str">
        <f t="shared" si="5"/>
        <v>-</v>
      </c>
      <c r="L46" s="799">
        <f>SUM(L47)</f>
        <v>114907.8</v>
      </c>
      <c r="M46" s="799">
        <f>SUM(M47)</f>
        <v>114907.59602</v>
      </c>
      <c r="N46" s="800">
        <f t="shared" si="6"/>
        <v>99.999822483765243</v>
      </c>
      <c r="O46" s="799">
        <f>SUM(O47)</f>
        <v>0</v>
      </c>
      <c r="P46" s="799">
        <f>SUM(P47)</f>
        <v>0</v>
      </c>
      <c r="Q46" s="800" t="str">
        <f t="shared" si="7"/>
        <v>-</v>
      </c>
      <c r="R46" s="799">
        <f>SUM(R47)</f>
        <v>0</v>
      </c>
      <c r="S46" s="799">
        <f>SUM(S47)</f>
        <v>0</v>
      </c>
      <c r="T46" s="801" t="str">
        <f t="shared" si="2"/>
        <v>-</v>
      </c>
    </row>
    <row r="47" spans="1:20" ht="26.4" x14ac:dyDescent="0.25">
      <c r="A47" s="966" t="s">
        <v>739</v>
      </c>
      <c r="B47" s="969" t="s">
        <v>738</v>
      </c>
      <c r="C47" s="799">
        <f t="shared" si="0"/>
        <v>114907.8</v>
      </c>
      <c r="D47" s="799">
        <f t="shared" si="0"/>
        <v>114907.59602</v>
      </c>
      <c r="E47" s="800">
        <f t="shared" si="3"/>
        <v>99.999822483765243</v>
      </c>
      <c r="F47" s="799"/>
      <c r="G47" s="799"/>
      <c r="H47" s="800" t="str">
        <f t="shared" si="4"/>
        <v>-</v>
      </c>
      <c r="I47" s="799"/>
      <c r="J47" s="799"/>
      <c r="K47" s="800" t="str">
        <f t="shared" si="5"/>
        <v>-</v>
      </c>
      <c r="L47" s="799">
        <v>114907.8</v>
      </c>
      <c r="M47" s="799">
        <v>114907.59602</v>
      </c>
      <c r="N47" s="800">
        <f t="shared" si="6"/>
        <v>99.999822483765243</v>
      </c>
      <c r="O47" s="799"/>
      <c r="P47" s="799"/>
      <c r="Q47" s="800" t="str">
        <f t="shared" si="7"/>
        <v>-</v>
      </c>
      <c r="R47" s="799"/>
      <c r="S47" s="799"/>
      <c r="T47" s="801" t="str">
        <f t="shared" si="2"/>
        <v>-</v>
      </c>
    </row>
    <row r="48" spans="1:20" ht="26.4" x14ac:dyDescent="0.25">
      <c r="A48" s="965" t="s">
        <v>1261</v>
      </c>
      <c r="B48" s="969" t="s">
        <v>1262</v>
      </c>
      <c r="C48" s="799">
        <f t="shared" si="0"/>
        <v>1222222.2222200001</v>
      </c>
      <c r="D48" s="799">
        <f t="shared" si="0"/>
        <v>862036.20872</v>
      </c>
      <c r="E48" s="800">
        <f t="shared" si="3"/>
        <v>70.530235259037326</v>
      </c>
      <c r="F48" s="799">
        <f>+F49</f>
        <v>1222222.2222200001</v>
      </c>
      <c r="G48" s="799">
        <f>+G49</f>
        <v>862036.20872</v>
      </c>
      <c r="H48" s="800">
        <f t="shared" si="4"/>
        <v>70.530235259037326</v>
      </c>
      <c r="I48" s="799">
        <f>+I49</f>
        <v>0</v>
      </c>
      <c r="J48" s="799">
        <f>+J49</f>
        <v>0</v>
      </c>
      <c r="K48" s="800" t="str">
        <f t="shared" si="5"/>
        <v>-</v>
      </c>
      <c r="L48" s="799">
        <f>+L49</f>
        <v>0</v>
      </c>
      <c r="M48" s="799">
        <f>+M49</f>
        <v>0</v>
      </c>
      <c r="N48" s="800" t="str">
        <f t="shared" si="6"/>
        <v>-</v>
      </c>
      <c r="O48" s="799">
        <f>+O49</f>
        <v>0</v>
      </c>
      <c r="P48" s="799">
        <f>+P49</f>
        <v>0</v>
      </c>
      <c r="Q48" s="800" t="str">
        <f t="shared" si="7"/>
        <v>-</v>
      </c>
      <c r="R48" s="799">
        <f>+R49</f>
        <v>0</v>
      </c>
      <c r="S48" s="799">
        <f>+S49</f>
        <v>0</v>
      </c>
      <c r="T48" s="801" t="str">
        <f t="shared" si="2"/>
        <v>-</v>
      </c>
    </row>
    <row r="49" spans="1:20" ht="26.4" x14ac:dyDescent="0.25">
      <c r="A49" s="965" t="s">
        <v>1263</v>
      </c>
      <c r="B49" s="969" t="s">
        <v>1264</v>
      </c>
      <c r="C49" s="799">
        <f t="shared" si="0"/>
        <v>1222222.2222200001</v>
      </c>
      <c r="D49" s="799">
        <f t="shared" si="0"/>
        <v>862036.20872</v>
      </c>
      <c r="E49" s="800">
        <f t="shared" si="3"/>
        <v>70.530235259037326</v>
      </c>
      <c r="F49" s="799">
        <f>+F50</f>
        <v>1222222.2222200001</v>
      </c>
      <c r="G49" s="799">
        <f>+G50</f>
        <v>862036.20872</v>
      </c>
      <c r="H49" s="800">
        <f t="shared" si="4"/>
        <v>70.530235259037326</v>
      </c>
      <c r="I49" s="799">
        <f>+I50</f>
        <v>0</v>
      </c>
      <c r="J49" s="799">
        <f>+J50</f>
        <v>0</v>
      </c>
      <c r="K49" s="800" t="str">
        <f t="shared" si="5"/>
        <v>-</v>
      </c>
      <c r="L49" s="799">
        <f>+L50</f>
        <v>0</v>
      </c>
      <c r="M49" s="799">
        <f>+M50</f>
        <v>0</v>
      </c>
      <c r="N49" s="800" t="str">
        <f t="shared" si="6"/>
        <v>-</v>
      </c>
      <c r="O49" s="799">
        <f>+O50</f>
        <v>0</v>
      </c>
      <c r="P49" s="799">
        <f>+P50</f>
        <v>0</v>
      </c>
      <c r="Q49" s="800" t="str">
        <f t="shared" si="7"/>
        <v>-</v>
      </c>
      <c r="R49" s="799">
        <f>+R50</f>
        <v>0</v>
      </c>
      <c r="S49" s="799">
        <f>+S50</f>
        <v>0</v>
      </c>
      <c r="T49" s="801" t="str">
        <f t="shared" si="2"/>
        <v>-</v>
      </c>
    </row>
    <row r="50" spans="1:20" ht="26.4" x14ac:dyDescent="0.25">
      <c r="A50" s="966" t="s">
        <v>716</v>
      </c>
      <c r="B50" s="969" t="s">
        <v>715</v>
      </c>
      <c r="C50" s="799">
        <f t="shared" si="0"/>
        <v>1222222.2222200001</v>
      </c>
      <c r="D50" s="799">
        <f t="shared" si="0"/>
        <v>862036.20872</v>
      </c>
      <c r="E50" s="800">
        <f t="shared" si="3"/>
        <v>70.530235259037326</v>
      </c>
      <c r="F50" s="799">
        <v>1222222.2222200001</v>
      </c>
      <c r="G50" s="799">
        <v>862036.20872</v>
      </c>
      <c r="H50" s="800">
        <f t="shared" si="4"/>
        <v>70.530235259037326</v>
      </c>
      <c r="I50" s="799"/>
      <c r="J50" s="799"/>
      <c r="K50" s="800" t="str">
        <f t="shared" si="5"/>
        <v>-</v>
      </c>
      <c r="L50" s="799"/>
      <c r="M50" s="799"/>
      <c r="N50" s="800" t="str">
        <f t="shared" si="6"/>
        <v>-</v>
      </c>
      <c r="O50" s="799"/>
      <c r="P50" s="799"/>
      <c r="Q50" s="800" t="str">
        <f t="shared" si="7"/>
        <v>-</v>
      </c>
      <c r="R50" s="799"/>
      <c r="S50" s="799"/>
      <c r="T50" s="801" t="str">
        <f t="shared" si="2"/>
        <v>-</v>
      </c>
    </row>
    <row r="51" spans="1:20" ht="26.4" x14ac:dyDescent="0.25">
      <c r="A51" s="965" t="s">
        <v>1265</v>
      </c>
      <c r="B51" s="969" t="s">
        <v>1266</v>
      </c>
      <c r="C51" s="799">
        <f t="shared" si="0"/>
        <v>3767321.9925000002</v>
      </c>
      <c r="D51" s="799">
        <f t="shared" si="0"/>
        <v>3734964.8600599999</v>
      </c>
      <c r="E51" s="800">
        <f t="shared" si="3"/>
        <v>99.141110515522243</v>
      </c>
      <c r="F51" s="799">
        <f>+F52+F54+F57</f>
        <v>2408900.8148000003</v>
      </c>
      <c r="G51" s="799">
        <f>+G52+G54+G57</f>
        <v>2381898.7793399999</v>
      </c>
      <c r="H51" s="800">
        <f t="shared" si="4"/>
        <v>98.879072343115865</v>
      </c>
      <c r="I51" s="799">
        <f>+I52+I54+I57</f>
        <v>0</v>
      </c>
      <c r="J51" s="799">
        <f>+J52+J54+J57</f>
        <v>0</v>
      </c>
      <c r="K51" s="800" t="str">
        <f t="shared" si="5"/>
        <v>-</v>
      </c>
      <c r="L51" s="799">
        <f>+L52+L54+L57</f>
        <v>137215.5</v>
      </c>
      <c r="M51" s="799">
        <f>+M52+M54+M57</f>
        <v>137170.5</v>
      </c>
      <c r="N51" s="800">
        <f t="shared" si="6"/>
        <v>99.967204871169798</v>
      </c>
      <c r="O51" s="799">
        <f>+O52+O54+O57</f>
        <v>1221205.6776999999</v>
      </c>
      <c r="P51" s="799">
        <f>+P52+P54+P57</f>
        <v>1215895.58072</v>
      </c>
      <c r="Q51" s="800">
        <f t="shared" si="7"/>
        <v>99.565175868654592</v>
      </c>
      <c r="R51" s="799">
        <f>+R52+R54+R57</f>
        <v>0</v>
      </c>
      <c r="S51" s="799">
        <f>+S52+S54+S57</f>
        <v>0</v>
      </c>
      <c r="T51" s="801" t="str">
        <f t="shared" si="2"/>
        <v>-</v>
      </c>
    </row>
    <row r="52" spans="1:20" ht="39.6" x14ac:dyDescent="0.25">
      <c r="A52" s="965" t="s">
        <v>1267</v>
      </c>
      <c r="B52" s="969" t="s">
        <v>688</v>
      </c>
      <c r="C52" s="799">
        <f t="shared" si="0"/>
        <v>3506257.6510000001</v>
      </c>
      <c r="D52" s="799">
        <f t="shared" si="0"/>
        <v>3479219.3756200001</v>
      </c>
      <c r="E52" s="800">
        <f t="shared" si="3"/>
        <v>99.228856573837675</v>
      </c>
      <c r="F52" s="799">
        <f>+F53</f>
        <v>2346257.6510000001</v>
      </c>
      <c r="G52" s="799">
        <f>+G53</f>
        <v>2319323.7003899999</v>
      </c>
      <c r="H52" s="800">
        <f t="shared" si="4"/>
        <v>98.852046338622671</v>
      </c>
      <c r="I52" s="799">
        <f>+I53</f>
        <v>0</v>
      </c>
      <c r="J52" s="799">
        <f>+J53</f>
        <v>0</v>
      </c>
      <c r="K52" s="800" t="str">
        <f t="shared" si="5"/>
        <v>-</v>
      </c>
      <c r="L52" s="799">
        <f>+L53</f>
        <v>0</v>
      </c>
      <c r="M52" s="799">
        <f>+M53</f>
        <v>0</v>
      </c>
      <c r="N52" s="800" t="str">
        <f t="shared" si="6"/>
        <v>-</v>
      </c>
      <c r="O52" s="799">
        <f>+O53</f>
        <v>1160000</v>
      </c>
      <c r="P52" s="799">
        <f>+P53</f>
        <v>1159895.6752299999</v>
      </c>
      <c r="Q52" s="800">
        <f t="shared" si="7"/>
        <v>99.991006485344826</v>
      </c>
      <c r="R52" s="799">
        <f>+R53</f>
        <v>0</v>
      </c>
      <c r="S52" s="799">
        <f>+S53</f>
        <v>0</v>
      </c>
      <c r="T52" s="801" t="str">
        <f t="shared" si="2"/>
        <v>-</v>
      </c>
    </row>
    <row r="53" spans="1:20" x14ac:dyDescent="0.25">
      <c r="A53" s="966" t="s">
        <v>903</v>
      </c>
      <c r="B53" s="969" t="s">
        <v>902</v>
      </c>
      <c r="C53" s="799">
        <f t="shared" si="0"/>
        <v>3506257.6510000001</v>
      </c>
      <c r="D53" s="799">
        <f t="shared" si="0"/>
        <v>3479219.3756200001</v>
      </c>
      <c r="E53" s="800">
        <f t="shared" si="3"/>
        <v>99.228856573837675</v>
      </c>
      <c r="F53" s="799">
        <v>2346257.6510000001</v>
      </c>
      <c r="G53" s="799">
        <v>2319323.7003899999</v>
      </c>
      <c r="H53" s="800">
        <f t="shared" si="4"/>
        <v>98.852046338622671</v>
      </c>
      <c r="I53" s="799"/>
      <c r="J53" s="799"/>
      <c r="K53" s="800" t="str">
        <f t="shared" si="5"/>
        <v>-</v>
      </c>
      <c r="L53" s="799"/>
      <c r="M53" s="799"/>
      <c r="N53" s="800" t="str">
        <f t="shared" si="6"/>
        <v>-</v>
      </c>
      <c r="O53" s="799">
        <v>1160000</v>
      </c>
      <c r="P53" s="799">
        <v>1159895.6752299999</v>
      </c>
      <c r="Q53" s="800">
        <f t="shared" si="7"/>
        <v>99.991006485344826</v>
      </c>
      <c r="R53" s="799"/>
      <c r="S53" s="799"/>
      <c r="T53" s="801" t="str">
        <f t="shared" si="2"/>
        <v>-</v>
      </c>
    </row>
    <row r="54" spans="1:20" ht="26.4" x14ac:dyDescent="0.25">
      <c r="A54" s="965" t="s">
        <v>1268</v>
      </c>
      <c r="B54" s="969" t="s">
        <v>1269</v>
      </c>
      <c r="C54" s="799">
        <f>+F54+I54+L54+O54+R54</f>
        <v>142643.16380000001</v>
      </c>
      <c r="D54" s="799">
        <f t="shared" si="0"/>
        <v>142575.07895</v>
      </c>
      <c r="E54" s="800">
        <f t="shared" si="3"/>
        <v>99.952269111125801</v>
      </c>
      <c r="F54" s="799">
        <f>SUM(F55:F56)</f>
        <v>62643.163800000002</v>
      </c>
      <c r="G54" s="799">
        <f>SUM(G55:G56)</f>
        <v>62575.078950000003</v>
      </c>
      <c r="H54" s="800">
        <f t="shared" si="4"/>
        <v>99.891313200244198</v>
      </c>
      <c r="I54" s="799">
        <f>SUM(I55:I56)</f>
        <v>0</v>
      </c>
      <c r="J54" s="799">
        <f>SUM(J55:J56)</f>
        <v>0</v>
      </c>
      <c r="K54" s="800" t="str">
        <f t="shared" si="5"/>
        <v>-</v>
      </c>
      <c r="L54" s="799">
        <f>SUM(L55:L56)</f>
        <v>80000</v>
      </c>
      <c r="M54" s="799">
        <f>SUM(M55:M56)</f>
        <v>80000</v>
      </c>
      <c r="N54" s="800">
        <f t="shared" si="6"/>
        <v>100</v>
      </c>
      <c r="O54" s="799">
        <f>SUM(O55:O56)</f>
        <v>0</v>
      </c>
      <c r="P54" s="799">
        <f>SUM(P55:P56)</f>
        <v>0</v>
      </c>
      <c r="Q54" s="800" t="str">
        <f t="shared" si="7"/>
        <v>-</v>
      </c>
      <c r="R54" s="799">
        <f>SUM(R55:R56)</f>
        <v>0</v>
      </c>
      <c r="S54" s="799">
        <f>SUM(S55:S56)</f>
        <v>0</v>
      </c>
      <c r="T54" s="801" t="str">
        <f t="shared" si="2"/>
        <v>-</v>
      </c>
    </row>
    <row r="55" spans="1:20" ht="26.4" x14ac:dyDescent="0.25">
      <c r="A55" s="966" t="s">
        <v>879</v>
      </c>
      <c r="B55" s="970" t="s">
        <v>878</v>
      </c>
      <c r="C55" s="799">
        <f t="shared" ref="C55" si="9">+F55+I55+L55+O55+R55</f>
        <v>80000</v>
      </c>
      <c r="D55" s="799">
        <f t="shared" si="0"/>
        <v>80000</v>
      </c>
      <c r="E55" s="800">
        <f t="shared" si="3"/>
        <v>100</v>
      </c>
      <c r="F55" s="799"/>
      <c r="G55" s="799"/>
      <c r="H55" s="800" t="str">
        <f t="shared" si="4"/>
        <v>-</v>
      </c>
      <c r="I55" s="799"/>
      <c r="J55" s="799"/>
      <c r="K55" s="800" t="str">
        <f t="shared" si="5"/>
        <v>-</v>
      </c>
      <c r="L55" s="799">
        <v>80000</v>
      </c>
      <c r="M55" s="799">
        <v>80000</v>
      </c>
      <c r="N55" s="800">
        <f t="shared" si="6"/>
        <v>100</v>
      </c>
      <c r="O55" s="799"/>
      <c r="P55" s="799"/>
      <c r="Q55" s="800" t="str">
        <f t="shared" si="7"/>
        <v>-</v>
      </c>
      <c r="R55" s="799"/>
      <c r="S55" s="799"/>
      <c r="T55" s="801" t="str">
        <f t="shared" si="2"/>
        <v>-</v>
      </c>
    </row>
    <row r="56" spans="1:20" x14ac:dyDescent="0.25">
      <c r="A56" s="966" t="s">
        <v>903</v>
      </c>
      <c r="B56" s="969" t="s">
        <v>902</v>
      </c>
      <c r="C56" s="799">
        <f t="shared" si="0"/>
        <v>62643.163800000002</v>
      </c>
      <c r="D56" s="799">
        <f t="shared" si="0"/>
        <v>62575.078950000003</v>
      </c>
      <c r="E56" s="800">
        <f t="shared" si="3"/>
        <v>99.891313200244198</v>
      </c>
      <c r="F56" s="799">
        <v>62643.163800000002</v>
      </c>
      <c r="G56" s="799">
        <v>62575.078950000003</v>
      </c>
      <c r="H56" s="800">
        <f t="shared" si="4"/>
        <v>99.891313200244198</v>
      </c>
      <c r="I56" s="799"/>
      <c r="J56" s="799"/>
      <c r="K56" s="800" t="str">
        <f t="shared" si="5"/>
        <v>-</v>
      </c>
      <c r="L56" s="799"/>
      <c r="M56" s="799"/>
      <c r="N56" s="800" t="str">
        <f t="shared" si="6"/>
        <v>-</v>
      </c>
      <c r="O56" s="799"/>
      <c r="P56" s="799"/>
      <c r="Q56" s="800" t="str">
        <f t="shared" si="7"/>
        <v>-</v>
      </c>
      <c r="R56" s="799"/>
      <c r="S56" s="799"/>
      <c r="T56" s="801" t="str">
        <f t="shared" si="2"/>
        <v>-</v>
      </c>
    </row>
    <row r="57" spans="1:20" ht="26.4" x14ac:dyDescent="0.25">
      <c r="A57" s="965" t="s">
        <v>1270</v>
      </c>
      <c r="B57" s="969" t="s">
        <v>1271</v>
      </c>
      <c r="C57" s="799">
        <f>+F57+I57+L57+O57+R57</f>
        <v>118421.1777</v>
      </c>
      <c r="D57" s="799">
        <f t="shared" si="0"/>
        <v>113170.40549</v>
      </c>
      <c r="E57" s="800">
        <f t="shared" si="3"/>
        <v>95.566019261097082</v>
      </c>
      <c r="F57" s="799">
        <f>SUM(F58:F61)</f>
        <v>0</v>
      </c>
      <c r="G57" s="799">
        <f>SUM(G58:G61)</f>
        <v>0</v>
      </c>
      <c r="H57" s="800" t="str">
        <f t="shared" si="4"/>
        <v>-</v>
      </c>
      <c r="I57" s="799">
        <f>SUM(I58:I61)</f>
        <v>0</v>
      </c>
      <c r="J57" s="799">
        <f>SUM(J58:J61)</f>
        <v>0</v>
      </c>
      <c r="K57" s="800" t="str">
        <f t="shared" si="5"/>
        <v>-</v>
      </c>
      <c r="L57" s="799">
        <f>SUM(L58:L61)</f>
        <v>57215.5</v>
      </c>
      <c r="M57" s="799">
        <f>SUM(M58:M61)</f>
        <v>57170.5</v>
      </c>
      <c r="N57" s="800">
        <f t="shared" si="6"/>
        <v>99.921349983833053</v>
      </c>
      <c r="O57" s="799">
        <f>SUM(O58:O61)</f>
        <v>61205.6777</v>
      </c>
      <c r="P57" s="799">
        <f>SUM(P58:P61)</f>
        <v>55999.905489999997</v>
      </c>
      <c r="Q57" s="800">
        <f t="shared" si="7"/>
        <v>91.494625326238321</v>
      </c>
      <c r="R57" s="799">
        <f>SUM(R58:R61)</f>
        <v>0</v>
      </c>
      <c r="S57" s="799">
        <f>SUM(S58:S61)</f>
        <v>0</v>
      </c>
      <c r="T57" s="801" t="str">
        <f t="shared" si="2"/>
        <v>-</v>
      </c>
    </row>
    <row r="58" spans="1:20" x14ac:dyDescent="0.25">
      <c r="A58" s="966" t="s">
        <v>850</v>
      </c>
      <c r="B58" s="970" t="s">
        <v>849</v>
      </c>
      <c r="C58" s="799">
        <f t="shared" si="0"/>
        <v>47320</v>
      </c>
      <c r="D58" s="799">
        <f t="shared" si="0"/>
        <v>47275</v>
      </c>
      <c r="E58" s="800">
        <f t="shared" si="3"/>
        <v>99.904902789518175</v>
      </c>
      <c r="F58" s="799"/>
      <c r="G58" s="799"/>
      <c r="H58" s="800" t="str">
        <f t="shared" si="4"/>
        <v>-</v>
      </c>
      <c r="I58" s="799"/>
      <c r="J58" s="799"/>
      <c r="K58" s="800" t="str">
        <f t="shared" si="5"/>
        <v>-</v>
      </c>
      <c r="L58" s="799">
        <v>47320</v>
      </c>
      <c r="M58" s="799">
        <v>47275</v>
      </c>
      <c r="N58" s="800">
        <f t="shared" si="6"/>
        <v>99.904902789518175</v>
      </c>
      <c r="O58" s="799"/>
      <c r="P58" s="799"/>
      <c r="Q58" s="800" t="str">
        <f t="shared" si="7"/>
        <v>-</v>
      </c>
      <c r="R58" s="799"/>
      <c r="S58" s="799"/>
      <c r="T58" s="801" t="str">
        <f t="shared" si="2"/>
        <v>-</v>
      </c>
    </row>
    <row r="59" spans="1:20" ht="26.4" x14ac:dyDescent="0.25">
      <c r="A59" s="966" t="s">
        <v>748</v>
      </c>
      <c r="B59" s="970" t="s">
        <v>747</v>
      </c>
      <c r="C59" s="799">
        <f t="shared" si="0"/>
        <v>8799.5</v>
      </c>
      <c r="D59" s="799">
        <f t="shared" si="0"/>
        <v>8799.5</v>
      </c>
      <c r="E59" s="800">
        <f t="shared" si="3"/>
        <v>100</v>
      </c>
      <c r="F59" s="799"/>
      <c r="G59" s="799"/>
      <c r="H59" s="800" t="str">
        <f t="shared" si="4"/>
        <v>-</v>
      </c>
      <c r="I59" s="799"/>
      <c r="J59" s="799"/>
      <c r="K59" s="800" t="str">
        <f t="shared" si="5"/>
        <v>-</v>
      </c>
      <c r="L59" s="799">
        <v>1037</v>
      </c>
      <c r="M59" s="799">
        <v>1037</v>
      </c>
      <c r="N59" s="800">
        <f t="shared" si="6"/>
        <v>100</v>
      </c>
      <c r="O59" s="799">
        <v>7762.5</v>
      </c>
      <c r="P59" s="799">
        <v>7762.5</v>
      </c>
      <c r="Q59" s="800">
        <f t="shared" si="7"/>
        <v>100</v>
      </c>
      <c r="R59" s="799"/>
      <c r="S59" s="799"/>
      <c r="T59" s="801" t="str">
        <f t="shared" si="2"/>
        <v>-</v>
      </c>
    </row>
    <row r="60" spans="1:20" x14ac:dyDescent="0.25">
      <c r="A60" s="966" t="s">
        <v>903</v>
      </c>
      <c r="B60" s="970" t="s">
        <v>902</v>
      </c>
      <c r="C60" s="799">
        <f t="shared" si="0"/>
        <v>53443.1777</v>
      </c>
      <c r="D60" s="799">
        <f t="shared" si="0"/>
        <v>48237.405489999997</v>
      </c>
      <c r="E60" s="800">
        <f t="shared" si="3"/>
        <v>90.259239001052137</v>
      </c>
      <c r="F60" s="799"/>
      <c r="G60" s="799"/>
      <c r="H60" s="800" t="str">
        <f t="shared" si="4"/>
        <v>-</v>
      </c>
      <c r="I60" s="799"/>
      <c r="J60" s="799"/>
      <c r="K60" s="800" t="str">
        <f t="shared" si="5"/>
        <v>-</v>
      </c>
      <c r="L60" s="799"/>
      <c r="M60" s="799"/>
      <c r="N60" s="800" t="str">
        <f t="shared" si="6"/>
        <v>-</v>
      </c>
      <c r="O60" s="799">
        <v>53443.1777</v>
      </c>
      <c r="P60" s="799">
        <v>48237.405489999997</v>
      </c>
      <c r="Q60" s="800">
        <f t="shared" si="7"/>
        <v>90.259239001052137</v>
      </c>
      <c r="R60" s="799"/>
      <c r="S60" s="799"/>
      <c r="T60" s="801" t="str">
        <f t="shared" si="2"/>
        <v>-</v>
      </c>
    </row>
    <row r="61" spans="1:20" ht="26.4" x14ac:dyDescent="0.25">
      <c r="A61" s="966" t="s">
        <v>978</v>
      </c>
      <c r="B61" s="970" t="s">
        <v>977</v>
      </c>
      <c r="C61" s="799">
        <f t="shared" si="0"/>
        <v>8858.5</v>
      </c>
      <c r="D61" s="799">
        <f t="shared" si="0"/>
        <v>8858.5</v>
      </c>
      <c r="E61" s="800">
        <f t="shared" si="3"/>
        <v>100</v>
      </c>
      <c r="F61" s="799"/>
      <c r="G61" s="799"/>
      <c r="H61" s="800" t="str">
        <f t="shared" si="4"/>
        <v>-</v>
      </c>
      <c r="I61" s="799"/>
      <c r="J61" s="799"/>
      <c r="K61" s="800" t="str">
        <f t="shared" si="5"/>
        <v>-</v>
      </c>
      <c r="L61" s="799">
        <v>8858.5</v>
      </c>
      <c r="M61" s="799">
        <v>8858.5</v>
      </c>
      <c r="N61" s="800">
        <f t="shared" si="6"/>
        <v>100</v>
      </c>
      <c r="O61" s="799"/>
      <c r="P61" s="799"/>
      <c r="Q61" s="800" t="str">
        <f t="shared" si="7"/>
        <v>-</v>
      </c>
      <c r="R61" s="799"/>
      <c r="S61" s="799"/>
      <c r="T61" s="801" t="str">
        <f t="shared" si="2"/>
        <v>-</v>
      </c>
    </row>
    <row r="62" spans="1:20" x14ac:dyDescent="0.25">
      <c r="A62" s="965" t="s">
        <v>1272</v>
      </c>
      <c r="B62" s="969" t="s">
        <v>1273</v>
      </c>
      <c r="C62" s="799">
        <f>+F62+I62+L62+O62+R62</f>
        <v>4766226.4756899998</v>
      </c>
      <c r="D62" s="799">
        <f t="shared" si="0"/>
        <v>3116854.7945300001</v>
      </c>
      <c r="E62" s="800">
        <f t="shared" si="3"/>
        <v>65.394601167767163</v>
      </c>
      <c r="F62" s="799">
        <f>+F63+F65+F67</f>
        <v>1915661.19732</v>
      </c>
      <c r="G62" s="799">
        <f>+G63+G65+G67</f>
        <v>1012223.28069</v>
      </c>
      <c r="H62" s="800">
        <f t="shared" si="4"/>
        <v>52.839368574468971</v>
      </c>
      <c r="I62" s="799">
        <f>+I63+I65+I67</f>
        <v>0</v>
      </c>
      <c r="J62" s="799">
        <f>+J63+J65+J67</f>
        <v>0</v>
      </c>
      <c r="K62" s="800" t="str">
        <f t="shared" si="5"/>
        <v>-</v>
      </c>
      <c r="L62" s="799">
        <f>+L63+L65+L67</f>
        <v>0</v>
      </c>
      <c r="M62" s="799">
        <f>+M63+M65+M67</f>
        <v>0</v>
      </c>
      <c r="N62" s="800" t="str">
        <f t="shared" si="6"/>
        <v>-</v>
      </c>
      <c r="O62" s="799">
        <f>+O63+O65+O67</f>
        <v>2850565.27837</v>
      </c>
      <c r="P62" s="799">
        <f>+P63+P65+P67</f>
        <v>2104631.5138400001</v>
      </c>
      <c r="Q62" s="800">
        <f t="shared" si="7"/>
        <v>73.832075687228709</v>
      </c>
      <c r="R62" s="799">
        <f>+R63+R65+R67</f>
        <v>0</v>
      </c>
      <c r="S62" s="799">
        <f>+S63+S65+S67</f>
        <v>0</v>
      </c>
      <c r="T62" s="801" t="str">
        <f t="shared" si="2"/>
        <v>-</v>
      </c>
    </row>
    <row r="63" spans="1:20" x14ac:dyDescent="0.25">
      <c r="A63" s="965" t="s">
        <v>1274</v>
      </c>
      <c r="B63" s="969" t="s">
        <v>1275</v>
      </c>
      <c r="C63" s="799">
        <f t="shared" si="0"/>
        <v>185735</v>
      </c>
      <c r="D63" s="799">
        <f t="shared" si="0"/>
        <v>185735</v>
      </c>
      <c r="E63" s="800">
        <f t="shared" si="3"/>
        <v>100</v>
      </c>
      <c r="F63" s="799">
        <f>+F64</f>
        <v>0</v>
      </c>
      <c r="G63" s="799">
        <f>+G64</f>
        <v>0</v>
      </c>
      <c r="H63" s="800" t="str">
        <f t="shared" si="4"/>
        <v>-</v>
      </c>
      <c r="I63" s="799">
        <f>+I64</f>
        <v>0</v>
      </c>
      <c r="J63" s="799">
        <f>+J64</f>
        <v>0</v>
      </c>
      <c r="K63" s="800" t="str">
        <f t="shared" si="5"/>
        <v>-</v>
      </c>
      <c r="L63" s="799">
        <f>+L64</f>
        <v>0</v>
      </c>
      <c r="M63" s="799">
        <f>+M64</f>
        <v>0</v>
      </c>
      <c r="N63" s="800" t="str">
        <f t="shared" si="6"/>
        <v>-</v>
      </c>
      <c r="O63" s="799">
        <f>+O64</f>
        <v>185735</v>
      </c>
      <c r="P63" s="799">
        <f>+P64</f>
        <v>185735</v>
      </c>
      <c r="Q63" s="800">
        <f t="shared" si="7"/>
        <v>100</v>
      </c>
      <c r="R63" s="799">
        <f>+R64</f>
        <v>0</v>
      </c>
      <c r="S63" s="799">
        <f>+S64</f>
        <v>0</v>
      </c>
      <c r="T63" s="801" t="str">
        <f t="shared" si="2"/>
        <v>-</v>
      </c>
    </row>
    <row r="64" spans="1:20" ht="26.4" x14ac:dyDescent="0.25">
      <c r="A64" s="966" t="s">
        <v>716</v>
      </c>
      <c r="B64" s="969" t="s">
        <v>715</v>
      </c>
      <c r="C64" s="799">
        <f t="shared" si="0"/>
        <v>185735</v>
      </c>
      <c r="D64" s="799">
        <f t="shared" si="0"/>
        <v>185735</v>
      </c>
      <c r="E64" s="800">
        <f t="shared" si="3"/>
        <v>100</v>
      </c>
      <c r="F64" s="799"/>
      <c r="G64" s="799"/>
      <c r="H64" s="800" t="str">
        <f t="shared" si="4"/>
        <v>-</v>
      </c>
      <c r="I64" s="799"/>
      <c r="J64" s="799"/>
      <c r="K64" s="800" t="str">
        <f t="shared" si="5"/>
        <v>-</v>
      </c>
      <c r="L64" s="799"/>
      <c r="M64" s="799"/>
      <c r="N64" s="800" t="str">
        <f t="shared" si="6"/>
        <v>-</v>
      </c>
      <c r="O64" s="799">
        <v>185735</v>
      </c>
      <c r="P64" s="799">
        <v>185735</v>
      </c>
      <c r="Q64" s="800">
        <f t="shared" si="7"/>
        <v>100</v>
      </c>
      <c r="R64" s="799"/>
      <c r="S64" s="799"/>
      <c r="T64" s="801" t="str">
        <f t="shared" si="2"/>
        <v>-</v>
      </c>
    </row>
    <row r="65" spans="1:20" ht="26.4" x14ac:dyDescent="0.25">
      <c r="A65" s="965" t="s">
        <v>1276</v>
      </c>
      <c r="B65" s="969" t="s">
        <v>684</v>
      </c>
      <c r="C65" s="799">
        <f t="shared" si="0"/>
        <v>574167.45756999997</v>
      </c>
      <c r="D65" s="799">
        <f t="shared" si="0"/>
        <v>574166.44443999999</v>
      </c>
      <c r="E65" s="800">
        <f t="shared" si="3"/>
        <v>99.999823547993429</v>
      </c>
      <c r="F65" s="799">
        <f>+F66</f>
        <v>0</v>
      </c>
      <c r="G65" s="799">
        <f>+G66</f>
        <v>0</v>
      </c>
      <c r="H65" s="800" t="str">
        <f t="shared" si="4"/>
        <v>-</v>
      </c>
      <c r="I65" s="799">
        <f>+I66</f>
        <v>0</v>
      </c>
      <c r="J65" s="799">
        <f>+J66</f>
        <v>0</v>
      </c>
      <c r="K65" s="800" t="str">
        <f t="shared" si="5"/>
        <v>-</v>
      </c>
      <c r="L65" s="799">
        <f>+L66</f>
        <v>0</v>
      </c>
      <c r="M65" s="799">
        <f>+M66</f>
        <v>0</v>
      </c>
      <c r="N65" s="800" t="str">
        <f t="shared" si="6"/>
        <v>-</v>
      </c>
      <c r="O65" s="799">
        <f>+O66</f>
        <v>574167.45756999997</v>
      </c>
      <c r="P65" s="799">
        <f>+P66</f>
        <v>574166.44443999999</v>
      </c>
      <c r="Q65" s="800">
        <f t="shared" si="7"/>
        <v>99.999823547993429</v>
      </c>
      <c r="R65" s="799">
        <f>+R66</f>
        <v>0</v>
      </c>
      <c r="S65" s="799">
        <f>+S66</f>
        <v>0</v>
      </c>
      <c r="T65" s="801" t="str">
        <f t="shared" si="2"/>
        <v>-</v>
      </c>
    </row>
    <row r="66" spans="1:20" ht="39.6" x14ac:dyDescent="0.25">
      <c r="A66" s="966" t="s">
        <v>830</v>
      </c>
      <c r="B66" s="969" t="s">
        <v>829</v>
      </c>
      <c r="C66" s="799">
        <f t="shared" si="0"/>
        <v>574167.45756999997</v>
      </c>
      <c r="D66" s="799">
        <f t="shared" si="0"/>
        <v>574166.44443999999</v>
      </c>
      <c r="E66" s="800">
        <f t="shared" si="3"/>
        <v>99.999823547993429</v>
      </c>
      <c r="F66" s="799"/>
      <c r="G66" s="799"/>
      <c r="H66" s="800" t="str">
        <f t="shared" si="4"/>
        <v>-</v>
      </c>
      <c r="I66" s="799"/>
      <c r="J66" s="799"/>
      <c r="K66" s="800" t="str">
        <f t="shared" si="5"/>
        <v>-</v>
      </c>
      <c r="L66" s="799"/>
      <c r="M66" s="799"/>
      <c r="N66" s="800" t="str">
        <f t="shared" si="6"/>
        <v>-</v>
      </c>
      <c r="O66" s="799">
        <v>574167.45756999997</v>
      </c>
      <c r="P66" s="799">
        <v>574166.44443999999</v>
      </c>
      <c r="Q66" s="800">
        <f t="shared" si="7"/>
        <v>99.999823547993429</v>
      </c>
      <c r="R66" s="799"/>
      <c r="S66" s="799"/>
      <c r="T66" s="801" t="str">
        <f t="shared" si="2"/>
        <v>-</v>
      </c>
    </row>
    <row r="67" spans="1:20" ht="39.6" x14ac:dyDescent="0.25">
      <c r="A67" s="965" t="s">
        <v>1277</v>
      </c>
      <c r="B67" s="969" t="s">
        <v>1278</v>
      </c>
      <c r="C67" s="799">
        <f t="shared" si="0"/>
        <v>4006324.0181200001</v>
      </c>
      <c r="D67" s="799">
        <f t="shared" si="0"/>
        <v>2356953.3500899998</v>
      </c>
      <c r="E67" s="800">
        <f t="shared" si="3"/>
        <v>58.830821956233571</v>
      </c>
      <c r="F67" s="799">
        <f>SUM(F68:F69)</f>
        <v>1915661.19732</v>
      </c>
      <c r="G67" s="799">
        <f>SUM(G68:G69)</f>
        <v>1012223.28069</v>
      </c>
      <c r="H67" s="800">
        <f t="shared" si="4"/>
        <v>52.839368574468971</v>
      </c>
      <c r="I67" s="799">
        <f>SUM(I68:I69)</f>
        <v>0</v>
      </c>
      <c r="J67" s="799">
        <f>SUM(J68:J69)</f>
        <v>0</v>
      </c>
      <c r="K67" s="800" t="str">
        <f t="shared" si="5"/>
        <v>-</v>
      </c>
      <c r="L67" s="799">
        <f>SUM(L68:L69)</f>
        <v>0</v>
      </c>
      <c r="M67" s="799">
        <f>SUM(M68:M69)</f>
        <v>0</v>
      </c>
      <c r="N67" s="800" t="str">
        <f t="shared" si="6"/>
        <v>-</v>
      </c>
      <c r="O67" s="799">
        <f>SUM(O68:O69)</f>
        <v>2090662.8207999999</v>
      </c>
      <c r="P67" s="799">
        <f>SUM(P68:P69)</f>
        <v>1344730.0693999999</v>
      </c>
      <c r="Q67" s="800">
        <f t="shared" si="7"/>
        <v>64.320753017716839</v>
      </c>
      <c r="R67" s="799">
        <f>SUM(R68:R69)</f>
        <v>0</v>
      </c>
      <c r="S67" s="799">
        <f>SUM(S68:S69)</f>
        <v>0</v>
      </c>
      <c r="T67" s="801" t="str">
        <f t="shared" si="2"/>
        <v>-</v>
      </c>
    </row>
    <row r="68" spans="1:20" ht="26.4" x14ac:dyDescent="0.25">
      <c r="A68" s="966" t="s">
        <v>716</v>
      </c>
      <c r="B68" s="969" t="s">
        <v>715</v>
      </c>
      <c r="C68" s="799">
        <f t="shared" si="0"/>
        <v>3508285.1311400002</v>
      </c>
      <c r="D68" s="799">
        <f t="shared" si="0"/>
        <v>1893830.37806</v>
      </c>
      <c r="E68" s="800">
        <f t="shared" si="3"/>
        <v>53.981655061332177</v>
      </c>
      <c r="F68" s="799">
        <v>1915661.19732</v>
      </c>
      <c r="G68" s="799">
        <v>1012223.28069</v>
      </c>
      <c r="H68" s="800">
        <f t="shared" si="4"/>
        <v>52.839368574468971</v>
      </c>
      <c r="I68" s="799"/>
      <c r="J68" s="799"/>
      <c r="K68" s="800" t="str">
        <f t="shared" si="5"/>
        <v>-</v>
      </c>
      <c r="L68" s="799"/>
      <c r="M68" s="799"/>
      <c r="N68" s="800" t="str">
        <f t="shared" si="6"/>
        <v>-</v>
      </c>
      <c r="O68" s="799">
        <v>1592623.9338199999</v>
      </c>
      <c r="P68" s="799">
        <v>881607.09736999997</v>
      </c>
      <c r="Q68" s="800">
        <f t="shared" si="7"/>
        <v>55.355635354255583</v>
      </c>
      <c r="R68" s="799"/>
      <c r="S68" s="799"/>
      <c r="T68" s="801" t="str">
        <f t="shared" si="2"/>
        <v>-</v>
      </c>
    </row>
    <row r="69" spans="1:20" ht="39.6" x14ac:dyDescent="0.25">
      <c r="A69" s="966" t="s">
        <v>830</v>
      </c>
      <c r="B69" s="969" t="s">
        <v>829</v>
      </c>
      <c r="C69" s="799">
        <f t="shared" si="0"/>
        <v>498038.88698000001</v>
      </c>
      <c r="D69" s="799">
        <f t="shared" si="0"/>
        <v>463122.97203</v>
      </c>
      <c r="E69" s="800">
        <f t="shared" si="3"/>
        <v>92.989319536528043</v>
      </c>
      <c r="F69" s="799"/>
      <c r="G69" s="799"/>
      <c r="H69" s="800" t="str">
        <f t="shared" si="4"/>
        <v>-</v>
      </c>
      <c r="I69" s="799"/>
      <c r="J69" s="799"/>
      <c r="K69" s="800" t="str">
        <f t="shared" si="5"/>
        <v>-</v>
      </c>
      <c r="L69" s="799"/>
      <c r="M69" s="799"/>
      <c r="N69" s="800" t="str">
        <f t="shared" si="6"/>
        <v>-</v>
      </c>
      <c r="O69" s="799">
        <v>498038.88698000001</v>
      </c>
      <c r="P69" s="799">
        <v>463122.97203</v>
      </c>
      <c r="Q69" s="800">
        <f t="shared" si="7"/>
        <v>92.989319536528043</v>
      </c>
      <c r="R69" s="799"/>
      <c r="S69" s="799"/>
      <c r="T69" s="801" t="str">
        <f t="shared" si="2"/>
        <v>-</v>
      </c>
    </row>
    <row r="70" spans="1:20" x14ac:dyDescent="0.25">
      <c r="A70" s="965" t="s">
        <v>1279</v>
      </c>
      <c r="B70" s="969" t="s">
        <v>1280</v>
      </c>
      <c r="C70" s="799">
        <f>+F70+I70+L70+O70+R70</f>
        <v>1145394.96059</v>
      </c>
      <c r="D70" s="799">
        <f t="shared" si="0"/>
        <v>783646.42703999998</v>
      </c>
      <c r="E70" s="800">
        <f t="shared" si="3"/>
        <v>68.41713592282079</v>
      </c>
      <c r="F70" s="799">
        <f>+F71+F74+F76+F78+F80+F82</f>
        <v>216970.81633</v>
      </c>
      <c r="G70" s="799">
        <f>+G71+G74+G76+G78+G80+G82</f>
        <v>208266.18190999998</v>
      </c>
      <c r="H70" s="800">
        <f t="shared" si="4"/>
        <v>95.988108185590832</v>
      </c>
      <c r="I70" s="799">
        <f>+I71+I74+I76+I78+I80+I82</f>
        <v>0</v>
      </c>
      <c r="J70" s="799">
        <f>+J71+J74+J76+J78+J80+J82</f>
        <v>0</v>
      </c>
      <c r="K70" s="800" t="str">
        <f t="shared" si="5"/>
        <v>-</v>
      </c>
      <c r="L70" s="799">
        <f>+L71+L74+L76+L78+L80+L82</f>
        <v>74407.061230000007</v>
      </c>
      <c r="M70" s="799">
        <f>+M71+M74+M76+M78+M80+M82</f>
        <v>73011.22855</v>
      </c>
      <c r="N70" s="800">
        <f t="shared" si="6"/>
        <v>98.124058850160282</v>
      </c>
      <c r="O70" s="799">
        <f>+O71+O74+O76+O78+O80+O82</f>
        <v>854017.08302999998</v>
      </c>
      <c r="P70" s="799">
        <f>+P71+P74+P76+P78+P80+P82</f>
        <v>502369.01658</v>
      </c>
      <c r="Q70" s="800">
        <f t="shared" si="7"/>
        <v>58.824235084106945</v>
      </c>
      <c r="R70" s="799">
        <f>+R71+R74+R76+R78+R80+R82</f>
        <v>0</v>
      </c>
      <c r="S70" s="799">
        <f>+S71+S74+S76+S78+S80+S82</f>
        <v>0</v>
      </c>
      <c r="T70" s="801" t="str">
        <f t="shared" si="2"/>
        <v>-</v>
      </c>
    </row>
    <row r="71" spans="1:20" x14ac:dyDescent="0.25">
      <c r="A71" s="965" t="s">
        <v>1281</v>
      </c>
      <c r="B71" s="969" t="s">
        <v>1282</v>
      </c>
      <c r="C71" s="799">
        <f t="shared" si="0"/>
        <v>869200.41364000004</v>
      </c>
      <c r="D71" s="799">
        <f t="shared" si="0"/>
        <v>511700.33400999999</v>
      </c>
      <c r="E71" s="800">
        <f t="shared" si="3"/>
        <v>58.870235906483678</v>
      </c>
      <c r="F71" s="799">
        <f>SUM(F72:F73)</f>
        <v>46916.428569999996</v>
      </c>
      <c r="G71" s="799">
        <f>SUM(G72:G73)</f>
        <v>42460.248070000001</v>
      </c>
      <c r="H71" s="800">
        <f t="shared" si="4"/>
        <v>90.501876132043364</v>
      </c>
      <c r="I71" s="799">
        <f>SUM(I72:I73)</f>
        <v>0</v>
      </c>
      <c r="J71" s="799">
        <f>SUM(J72:J73)</f>
        <v>0</v>
      </c>
      <c r="K71" s="800" t="str">
        <f t="shared" si="5"/>
        <v>-</v>
      </c>
      <c r="L71" s="799">
        <f>SUM(L72:L73)</f>
        <v>15630.10204</v>
      </c>
      <c r="M71" s="799">
        <f>SUM(M72:M73)</f>
        <v>14234.26936</v>
      </c>
      <c r="N71" s="800">
        <f t="shared" si="6"/>
        <v>91.069586900790327</v>
      </c>
      <c r="O71" s="799">
        <f>SUM(O72:O73)</f>
        <v>806653.88303000003</v>
      </c>
      <c r="P71" s="799">
        <f>SUM(P72:P73)</f>
        <v>455005.81657999998</v>
      </c>
      <c r="Q71" s="800">
        <f t="shared" si="7"/>
        <v>56.406573643565785</v>
      </c>
      <c r="R71" s="799">
        <f>SUM(R72:R73)</f>
        <v>0</v>
      </c>
      <c r="S71" s="799">
        <f>SUM(S72:S73)</f>
        <v>0</v>
      </c>
      <c r="T71" s="801" t="str">
        <f t="shared" si="2"/>
        <v>-</v>
      </c>
    </row>
    <row r="72" spans="1:20" ht="26.4" x14ac:dyDescent="0.25">
      <c r="A72" s="966" t="s">
        <v>716</v>
      </c>
      <c r="B72" s="969" t="s">
        <v>715</v>
      </c>
      <c r="C72" s="799">
        <f t="shared" si="0"/>
        <v>806653.88303000003</v>
      </c>
      <c r="D72" s="799">
        <f t="shared" si="0"/>
        <v>455005.81657999998</v>
      </c>
      <c r="E72" s="800">
        <f t="shared" si="3"/>
        <v>56.406573643565785</v>
      </c>
      <c r="F72" s="799"/>
      <c r="G72" s="799"/>
      <c r="H72" s="800" t="str">
        <f t="shared" si="4"/>
        <v>-</v>
      </c>
      <c r="I72" s="799"/>
      <c r="J72" s="799"/>
      <c r="K72" s="800" t="str">
        <f t="shared" si="5"/>
        <v>-</v>
      </c>
      <c r="L72" s="799"/>
      <c r="M72" s="799"/>
      <c r="N72" s="800" t="str">
        <f t="shared" si="6"/>
        <v>-</v>
      </c>
      <c r="O72" s="799">
        <v>806653.88303000003</v>
      </c>
      <c r="P72" s="799">
        <v>455005.81657999998</v>
      </c>
      <c r="Q72" s="800">
        <f t="shared" si="7"/>
        <v>56.406573643565785</v>
      </c>
      <c r="R72" s="799"/>
      <c r="S72" s="799"/>
      <c r="T72" s="801" t="str">
        <f t="shared" si="2"/>
        <v>-</v>
      </c>
    </row>
    <row r="73" spans="1:20" ht="26.4" x14ac:dyDescent="0.25">
      <c r="A73" s="966" t="s">
        <v>748</v>
      </c>
      <c r="B73" s="969" t="s">
        <v>747</v>
      </c>
      <c r="C73" s="799">
        <f t="shared" si="0"/>
        <v>62546.530609999994</v>
      </c>
      <c r="D73" s="799">
        <f t="shared" si="0"/>
        <v>56694.51743</v>
      </c>
      <c r="E73" s="800">
        <f t="shared" si="3"/>
        <v>90.643744548375679</v>
      </c>
      <c r="F73" s="799">
        <v>46916.428569999996</v>
      </c>
      <c r="G73" s="799">
        <v>42460.248070000001</v>
      </c>
      <c r="H73" s="800">
        <f t="shared" si="4"/>
        <v>90.501876132043364</v>
      </c>
      <c r="I73" s="799"/>
      <c r="J73" s="799"/>
      <c r="K73" s="800" t="str">
        <f t="shared" si="5"/>
        <v>-</v>
      </c>
      <c r="L73" s="799">
        <v>15630.10204</v>
      </c>
      <c r="M73" s="799">
        <v>14234.26936</v>
      </c>
      <c r="N73" s="800">
        <f t="shared" si="6"/>
        <v>91.069586900790327</v>
      </c>
      <c r="O73" s="799"/>
      <c r="P73" s="799"/>
      <c r="Q73" s="800" t="str">
        <f t="shared" si="7"/>
        <v>-</v>
      </c>
      <c r="R73" s="799"/>
      <c r="S73" s="799"/>
      <c r="T73" s="801" t="str">
        <f t="shared" si="2"/>
        <v>-</v>
      </c>
    </row>
    <row r="74" spans="1:20" x14ac:dyDescent="0.25">
      <c r="A74" s="965" t="s">
        <v>1283</v>
      </c>
      <c r="B74" s="969" t="s">
        <v>1284</v>
      </c>
      <c r="C74" s="799">
        <f t="shared" si="0"/>
        <v>119367.1796</v>
      </c>
      <c r="D74" s="799">
        <f t="shared" si="0"/>
        <v>115687.39915</v>
      </c>
      <c r="E74" s="800">
        <f t="shared" si="3"/>
        <v>96.917259449095667</v>
      </c>
      <c r="F74" s="799">
        <f>+F75</f>
        <v>29985.71429</v>
      </c>
      <c r="G74" s="799">
        <f>+G75</f>
        <v>26305.933840000002</v>
      </c>
      <c r="H74" s="800">
        <f t="shared" si="4"/>
        <v>87.728221464355187</v>
      </c>
      <c r="I74" s="799">
        <f>+I75</f>
        <v>0</v>
      </c>
      <c r="J74" s="799">
        <f>+J75</f>
        <v>0</v>
      </c>
      <c r="K74" s="800" t="str">
        <f t="shared" si="5"/>
        <v>-</v>
      </c>
      <c r="L74" s="799">
        <f>+L75</f>
        <v>42018.265310000003</v>
      </c>
      <c r="M74" s="799">
        <f>+M75</f>
        <v>42018.265310000003</v>
      </c>
      <c r="N74" s="800">
        <f t="shared" si="6"/>
        <v>100</v>
      </c>
      <c r="O74" s="799">
        <f>+O75</f>
        <v>47363.199999999997</v>
      </c>
      <c r="P74" s="799">
        <f>+P75</f>
        <v>47363.199999999997</v>
      </c>
      <c r="Q74" s="800">
        <f t="shared" si="7"/>
        <v>100</v>
      </c>
      <c r="R74" s="799">
        <f>+R75</f>
        <v>0</v>
      </c>
      <c r="S74" s="799">
        <f>+S75</f>
        <v>0</v>
      </c>
      <c r="T74" s="801" t="str">
        <f t="shared" si="2"/>
        <v>-</v>
      </c>
    </row>
    <row r="75" spans="1:20" ht="26.4" x14ac:dyDescent="0.25">
      <c r="A75" s="966" t="s">
        <v>748</v>
      </c>
      <c r="B75" s="969" t="s">
        <v>747</v>
      </c>
      <c r="C75" s="799">
        <f t="shared" si="0"/>
        <v>119367.1796</v>
      </c>
      <c r="D75" s="799">
        <f t="shared" si="0"/>
        <v>115687.39915</v>
      </c>
      <c r="E75" s="800">
        <f t="shared" si="3"/>
        <v>96.917259449095667</v>
      </c>
      <c r="F75" s="799">
        <v>29985.71429</v>
      </c>
      <c r="G75" s="799">
        <v>26305.933840000002</v>
      </c>
      <c r="H75" s="800">
        <f t="shared" si="4"/>
        <v>87.728221464355187</v>
      </c>
      <c r="I75" s="799"/>
      <c r="J75" s="799"/>
      <c r="K75" s="800" t="str">
        <f t="shared" si="5"/>
        <v>-</v>
      </c>
      <c r="L75" s="799">
        <v>42018.265310000003</v>
      </c>
      <c r="M75" s="799">
        <v>42018.265310000003</v>
      </c>
      <c r="N75" s="800">
        <f t="shared" si="6"/>
        <v>100</v>
      </c>
      <c r="O75" s="799">
        <v>47363.199999999997</v>
      </c>
      <c r="P75" s="799">
        <v>47363.199999999997</v>
      </c>
      <c r="Q75" s="800">
        <f t="shared" si="7"/>
        <v>100</v>
      </c>
      <c r="R75" s="799"/>
      <c r="S75" s="799"/>
      <c r="T75" s="801" t="str">
        <f t="shared" si="2"/>
        <v>-</v>
      </c>
    </row>
    <row r="76" spans="1:20" ht="26.4" x14ac:dyDescent="0.25">
      <c r="A76" s="965" t="s">
        <v>1285</v>
      </c>
      <c r="B76" s="969" t="s">
        <v>1286</v>
      </c>
      <c r="C76" s="799">
        <f t="shared" si="0"/>
        <v>214</v>
      </c>
      <c r="D76" s="799">
        <f t="shared" si="0"/>
        <v>214</v>
      </c>
      <c r="E76" s="800">
        <f t="shared" si="3"/>
        <v>100</v>
      </c>
      <c r="F76" s="799">
        <f>+F77</f>
        <v>0</v>
      </c>
      <c r="G76" s="799">
        <f>+G77</f>
        <v>0</v>
      </c>
      <c r="H76" s="800" t="str">
        <f t="shared" si="4"/>
        <v>-</v>
      </c>
      <c r="I76" s="799">
        <f>+I77</f>
        <v>0</v>
      </c>
      <c r="J76" s="799">
        <f>+J77</f>
        <v>0</v>
      </c>
      <c r="K76" s="800" t="str">
        <f t="shared" si="5"/>
        <v>-</v>
      </c>
      <c r="L76" s="799">
        <f>+L77</f>
        <v>214</v>
      </c>
      <c r="M76" s="799">
        <f>+M77</f>
        <v>214</v>
      </c>
      <c r="N76" s="800">
        <f t="shared" si="6"/>
        <v>100</v>
      </c>
      <c r="O76" s="799">
        <f>+O77</f>
        <v>0</v>
      </c>
      <c r="P76" s="799">
        <f>+P77</f>
        <v>0</v>
      </c>
      <c r="Q76" s="800" t="str">
        <f t="shared" si="7"/>
        <v>-</v>
      </c>
      <c r="R76" s="799">
        <f>+R77</f>
        <v>0</v>
      </c>
      <c r="S76" s="799">
        <f>+S77</f>
        <v>0</v>
      </c>
      <c r="T76" s="801" t="str">
        <f t="shared" si="2"/>
        <v>-</v>
      </c>
    </row>
    <row r="77" spans="1:20" ht="26.4" x14ac:dyDescent="0.25">
      <c r="A77" s="966" t="s">
        <v>748</v>
      </c>
      <c r="B77" s="969" t="s">
        <v>747</v>
      </c>
      <c r="C77" s="799">
        <f t="shared" si="0"/>
        <v>214</v>
      </c>
      <c r="D77" s="799">
        <f t="shared" si="0"/>
        <v>214</v>
      </c>
      <c r="E77" s="800">
        <f t="shared" si="3"/>
        <v>100</v>
      </c>
      <c r="F77" s="799"/>
      <c r="G77" s="799"/>
      <c r="H77" s="800" t="str">
        <f t="shared" si="4"/>
        <v>-</v>
      </c>
      <c r="I77" s="799"/>
      <c r="J77" s="799"/>
      <c r="K77" s="800" t="str">
        <f t="shared" si="5"/>
        <v>-</v>
      </c>
      <c r="L77" s="799">
        <v>214</v>
      </c>
      <c r="M77" s="799">
        <v>214</v>
      </c>
      <c r="N77" s="800">
        <f t="shared" si="6"/>
        <v>100</v>
      </c>
      <c r="O77" s="799"/>
      <c r="P77" s="799"/>
      <c r="Q77" s="800" t="str">
        <f t="shared" si="7"/>
        <v>-</v>
      </c>
      <c r="R77" s="799"/>
      <c r="S77" s="799"/>
      <c r="T77" s="801" t="str">
        <f t="shared" si="2"/>
        <v>-</v>
      </c>
    </row>
    <row r="78" spans="1:20" ht="26.4" x14ac:dyDescent="0.25">
      <c r="A78" s="965" t="s">
        <v>1287</v>
      </c>
      <c r="B78" s="969" t="s">
        <v>1288</v>
      </c>
      <c r="C78" s="799">
        <f t="shared" si="0"/>
        <v>140068.67347000001</v>
      </c>
      <c r="D78" s="799">
        <f t="shared" si="0"/>
        <v>139500</v>
      </c>
      <c r="E78" s="800">
        <f t="shared" si="3"/>
        <v>99.594003815477123</v>
      </c>
      <c r="F78" s="799">
        <f>+F79</f>
        <v>140068.67347000001</v>
      </c>
      <c r="G78" s="799">
        <f>+G79</f>
        <v>139500</v>
      </c>
      <c r="H78" s="800">
        <f t="shared" si="4"/>
        <v>99.594003815477123</v>
      </c>
      <c r="I78" s="799">
        <f>+I79</f>
        <v>0</v>
      </c>
      <c r="J78" s="799">
        <f>+J79</f>
        <v>0</v>
      </c>
      <c r="K78" s="800" t="str">
        <f t="shared" si="5"/>
        <v>-</v>
      </c>
      <c r="L78" s="799">
        <f>+L79</f>
        <v>0</v>
      </c>
      <c r="M78" s="799">
        <f>+M79</f>
        <v>0</v>
      </c>
      <c r="N78" s="800" t="str">
        <f t="shared" si="6"/>
        <v>-</v>
      </c>
      <c r="O78" s="799">
        <f>+O79</f>
        <v>0</v>
      </c>
      <c r="P78" s="799">
        <f>+P79</f>
        <v>0</v>
      </c>
      <c r="Q78" s="800" t="str">
        <f t="shared" si="7"/>
        <v>-</v>
      </c>
      <c r="R78" s="799">
        <f>+R79</f>
        <v>0</v>
      </c>
      <c r="S78" s="799">
        <f>+S79</f>
        <v>0</v>
      </c>
      <c r="T78" s="801" t="str">
        <f t="shared" si="2"/>
        <v>-</v>
      </c>
    </row>
    <row r="79" spans="1:20" ht="26.4" x14ac:dyDescent="0.25">
      <c r="A79" s="966" t="s">
        <v>748</v>
      </c>
      <c r="B79" s="969" t="s">
        <v>747</v>
      </c>
      <c r="C79" s="799">
        <f t="shared" ref="C79:D102" si="10">+F79+I79+L79+O79+R79</f>
        <v>140068.67347000001</v>
      </c>
      <c r="D79" s="799">
        <f t="shared" si="10"/>
        <v>139500</v>
      </c>
      <c r="E79" s="800">
        <f t="shared" si="3"/>
        <v>99.594003815477123</v>
      </c>
      <c r="F79" s="799">
        <v>140068.67347000001</v>
      </c>
      <c r="G79" s="799">
        <v>139500</v>
      </c>
      <c r="H79" s="800">
        <f t="shared" si="4"/>
        <v>99.594003815477123</v>
      </c>
      <c r="I79" s="799"/>
      <c r="J79" s="799">
        <v>0</v>
      </c>
      <c r="K79" s="800" t="str">
        <f t="shared" si="5"/>
        <v>-</v>
      </c>
      <c r="L79" s="799"/>
      <c r="M79" s="799">
        <v>0</v>
      </c>
      <c r="N79" s="800" t="str">
        <f t="shared" si="6"/>
        <v>-</v>
      </c>
      <c r="O79" s="799"/>
      <c r="P79" s="799">
        <v>0</v>
      </c>
      <c r="Q79" s="800" t="str">
        <f t="shared" si="7"/>
        <v>-</v>
      </c>
      <c r="R79" s="799"/>
      <c r="S79" s="799">
        <v>0</v>
      </c>
      <c r="T79" s="801" t="str">
        <f t="shared" ref="T79:T103" si="11">IF(R79=0,"-",S79/R79*100)</f>
        <v>-</v>
      </c>
    </row>
    <row r="80" spans="1:20" ht="39.6" x14ac:dyDescent="0.25">
      <c r="A80" s="965" t="s">
        <v>1289</v>
      </c>
      <c r="B80" s="969" t="s">
        <v>1290</v>
      </c>
      <c r="C80" s="799">
        <f t="shared" si="10"/>
        <v>7310</v>
      </c>
      <c r="D80" s="799">
        <f t="shared" si="10"/>
        <v>7310</v>
      </c>
      <c r="E80" s="800">
        <f t="shared" si="3"/>
        <v>100</v>
      </c>
      <c r="F80" s="799">
        <f>+F81</f>
        <v>0</v>
      </c>
      <c r="G80" s="799">
        <f>+G81</f>
        <v>0</v>
      </c>
      <c r="H80" s="800" t="str">
        <f t="shared" si="4"/>
        <v>-</v>
      </c>
      <c r="I80" s="799">
        <f>+I81</f>
        <v>0</v>
      </c>
      <c r="J80" s="799">
        <f>+J81</f>
        <v>0</v>
      </c>
      <c r="K80" s="800" t="str">
        <f t="shared" si="5"/>
        <v>-</v>
      </c>
      <c r="L80" s="799">
        <f>+L81</f>
        <v>7310</v>
      </c>
      <c r="M80" s="799">
        <f>+M81</f>
        <v>7310</v>
      </c>
      <c r="N80" s="800">
        <f t="shared" si="6"/>
        <v>100</v>
      </c>
      <c r="O80" s="799">
        <f>+O81</f>
        <v>0</v>
      </c>
      <c r="P80" s="799">
        <f>+P81</f>
        <v>0</v>
      </c>
      <c r="Q80" s="800" t="str">
        <f t="shared" si="7"/>
        <v>-</v>
      </c>
      <c r="R80" s="799">
        <f>+R81</f>
        <v>0</v>
      </c>
      <c r="S80" s="799">
        <f>+S81</f>
        <v>0</v>
      </c>
      <c r="T80" s="801" t="str">
        <f t="shared" si="11"/>
        <v>-</v>
      </c>
    </row>
    <row r="81" spans="1:20" ht="26.4" x14ac:dyDescent="0.25">
      <c r="A81" s="966" t="s">
        <v>748</v>
      </c>
      <c r="B81" s="969" t="s">
        <v>747</v>
      </c>
      <c r="C81" s="799">
        <f t="shared" si="10"/>
        <v>7310</v>
      </c>
      <c r="D81" s="799">
        <f t="shared" si="10"/>
        <v>7310</v>
      </c>
      <c r="E81" s="800">
        <f t="shared" si="3"/>
        <v>100</v>
      </c>
      <c r="F81" s="799"/>
      <c r="G81" s="799"/>
      <c r="H81" s="800" t="str">
        <f t="shared" si="4"/>
        <v>-</v>
      </c>
      <c r="I81" s="799"/>
      <c r="J81" s="799"/>
      <c r="K81" s="800" t="str">
        <f t="shared" si="5"/>
        <v>-</v>
      </c>
      <c r="L81" s="799">
        <v>7310</v>
      </c>
      <c r="M81" s="799">
        <v>7310</v>
      </c>
      <c r="N81" s="800">
        <f t="shared" si="6"/>
        <v>100</v>
      </c>
      <c r="O81" s="799"/>
      <c r="P81" s="799"/>
      <c r="Q81" s="800" t="str">
        <f t="shared" si="7"/>
        <v>-</v>
      </c>
      <c r="R81" s="799"/>
      <c r="S81" s="799"/>
      <c r="T81" s="801" t="str">
        <f t="shared" si="11"/>
        <v>-</v>
      </c>
    </row>
    <row r="82" spans="1:20" x14ac:dyDescent="0.25">
      <c r="A82" s="965" t="s">
        <v>1291</v>
      </c>
      <c r="B82" s="969" t="s">
        <v>1292</v>
      </c>
      <c r="C82" s="799">
        <f t="shared" si="10"/>
        <v>9234.6938800000007</v>
      </c>
      <c r="D82" s="799">
        <f t="shared" si="10"/>
        <v>9234.6938800000007</v>
      </c>
      <c r="E82" s="800">
        <f t="shared" ref="E82:E101" si="12">IF(C82=0,"-",D82/C82*100)</f>
        <v>100</v>
      </c>
      <c r="F82" s="799">
        <f>+F83</f>
        <v>0</v>
      </c>
      <c r="G82" s="799">
        <f>+G83</f>
        <v>0</v>
      </c>
      <c r="H82" s="800" t="str">
        <f t="shared" ref="H82:H103" si="13">IF(F82=0,"-",G82/F82*100)</f>
        <v>-</v>
      </c>
      <c r="I82" s="799">
        <f>+I83</f>
        <v>0</v>
      </c>
      <c r="J82" s="799">
        <f>+J83</f>
        <v>0</v>
      </c>
      <c r="K82" s="800" t="str">
        <f t="shared" ref="K82:K103" si="14">IF(I82=0,"-",J82/I82*100)</f>
        <v>-</v>
      </c>
      <c r="L82" s="799">
        <f>+L83</f>
        <v>9234.6938800000007</v>
      </c>
      <c r="M82" s="799">
        <f>+M83</f>
        <v>9234.6938800000007</v>
      </c>
      <c r="N82" s="800">
        <f t="shared" ref="N82:N103" si="15">IF(L82=0,"-",M82/L82*100)</f>
        <v>100</v>
      </c>
      <c r="O82" s="799">
        <f>+O83</f>
        <v>0</v>
      </c>
      <c r="P82" s="799">
        <f>+P83</f>
        <v>0</v>
      </c>
      <c r="Q82" s="800" t="str">
        <f t="shared" ref="Q82:Q103" si="16">IF(O82=0,"-",P82/O82*100)</f>
        <v>-</v>
      </c>
      <c r="R82" s="799">
        <f>+R83</f>
        <v>0</v>
      </c>
      <c r="S82" s="799">
        <f>+S83</f>
        <v>0</v>
      </c>
      <c r="T82" s="801" t="str">
        <f t="shared" si="11"/>
        <v>-</v>
      </c>
    </row>
    <row r="83" spans="1:20" ht="26.4" x14ac:dyDescent="0.25">
      <c r="A83" s="966" t="s">
        <v>978</v>
      </c>
      <c r="B83" s="969">
        <v>301</v>
      </c>
      <c r="C83" s="799">
        <f t="shared" si="10"/>
        <v>9234.6938800000007</v>
      </c>
      <c r="D83" s="799">
        <f t="shared" si="10"/>
        <v>9234.6938800000007</v>
      </c>
      <c r="E83" s="800">
        <f t="shared" si="12"/>
        <v>100</v>
      </c>
      <c r="F83" s="799"/>
      <c r="G83" s="799"/>
      <c r="H83" s="800" t="str">
        <f t="shared" si="13"/>
        <v>-</v>
      </c>
      <c r="I83" s="799"/>
      <c r="J83" s="799"/>
      <c r="K83" s="800" t="str">
        <f t="shared" si="14"/>
        <v>-</v>
      </c>
      <c r="L83" s="799">
        <v>9234.6938800000007</v>
      </c>
      <c r="M83" s="799">
        <v>9234.6938800000007</v>
      </c>
      <c r="N83" s="800">
        <f t="shared" si="15"/>
        <v>100</v>
      </c>
      <c r="O83" s="799"/>
      <c r="P83" s="799"/>
      <c r="Q83" s="800" t="str">
        <f t="shared" si="16"/>
        <v>-</v>
      </c>
      <c r="R83" s="799"/>
      <c r="S83" s="799"/>
      <c r="T83" s="801" t="str">
        <f t="shared" si="11"/>
        <v>-</v>
      </c>
    </row>
    <row r="84" spans="1:20" x14ac:dyDescent="0.25">
      <c r="A84" s="965" t="s">
        <v>1293</v>
      </c>
      <c r="B84" s="969" t="s">
        <v>1294</v>
      </c>
      <c r="C84" s="799">
        <f t="shared" si="10"/>
        <v>101422.88889</v>
      </c>
      <c r="D84" s="799">
        <f t="shared" si="10"/>
        <v>100668.36352</v>
      </c>
      <c r="E84" s="800">
        <f t="shared" si="12"/>
        <v>99.256060068631712</v>
      </c>
      <c r="F84" s="799">
        <f>+F85+F88</f>
        <v>0</v>
      </c>
      <c r="G84" s="799">
        <f>+G85+G88</f>
        <v>0</v>
      </c>
      <c r="H84" s="800" t="str">
        <f t="shared" si="13"/>
        <v>-</v>
      </c>
      <c r="I84" s="799">
        <f>+I85+I88</f>
        <v>0</v>
      </c>
      <c r="J84" s="799">
        <f>+J85+J88</f>
        <v>0</v>
      </c>
      <c r="K84" s="800" t="str">
        <f t="shared" si="14"/>
        <v>-</v>
      </c>
      <c r="L84" s="799">
        <f>+L85+L88</f>
        <v>0</v>
      </c>
      <c r="M84" s="799">
        <f>+M85+M88</f>
        <v>0</v>
      </c>
      <c r="N84" s="800" t="str">
        <f t="shared" si="15"/>
        <v>-</v>
      </c>
      <c r="O84" s="799">
        <f>+O85+O88</f>
        <v>101422.88889</v>
      </c>
      <c r="P84" s="799">
        <f>+P85+P88</f>
        <v>100668.36352</v>
      </c>
      <c r="Q84" s="800">
        <f t="shared" si="16"/>
        <v>99.256060068631712</v>
      </c>
      <c r="R84" s="799">
        <f>+R85+R88</f>
        <v>0</v>
      </c>
      <c r="S84" s="799">
        <f>+S85+S88</f>
        <v>0</v>
      </c>
      <c r="T84" s="801" t="str">
        <f t="shared" si="11"/>
        <v>-</v>
      </c>
    </row>
    <row r="85" spans="1:20" ht="39.6" x14ac:dyDescent="0.25">
      <c r="A85" s="965" t="s">
        <v>1295</v>
      </c>
      <c r="B85" s="969" t="s">
        <v>682</v>
      </c>
      <c r="C85" s="799">
        <f t="shared" si="10"/>
        <v>97722.888890000002</v>
      </c>
      <c r="D85" s="799">
        <f t="shared" si="10"/>
        <v>96968.363519999999</v>
      </c>
      <c r="E85" s="800">
        <f t="shared" si="12"/>
        <v>99.227892893292051</v>
      </c>
      <c r="F85" s="799">
        <f>SUM(F86:F87)</f>
        <v>0</v>
      </c>
      <c r="G85" s="799">
        <f>SUM(G86:G87)</f>
        <v>0</v>
      </c>
      <c r="H85" s="800" t="str">
        <f t="shared" si="13"/>
        <v>-</v>
      </c>
      <c r="I85" s="799">
        <f>SUM(I86:I87)</f>
        <v>0</v>
      </c>
      <c r="J85" s="799">
        <f>SUM(J86:J87)</f>
        <v>0</v>
      </c>
      <c r="K85" s="800" t="str">
        <f t="shared" si="14"/>
        <v>-</v>
      </c>
      <c r="L85" s="799">
        <f>SUM(L86:L87)</f>
        <v>0</v>
      </c>
      <c r="M85" s="799">
        <f>SUM(M86:M87)</f>
        <v>0</v>
      </c>
      <c r="N85" s="800" t="str">
        <f t="shared" si="15"/>
        <v>-</v>
      </c>
      <c r="O85" s="799">
        <f>SUM(O86:O87)</f>
        <v>97722.888890000002</v>
      </c>
      <c r="P85" s="799">
        <f>SUM(P86:P87)</f>
        <v>96968.363519999999</v>
      </c>
      <c r="Q85" s="800">
        <f t="shared" si="16"/>
        <v>99.227892893292051</v>
      </c>
      <c r="R85" s="799">
        <f>SUM(R86:R87)</f>
        <v>0</v>
      </c>
      <c r="S85" s="799">
        <f>SUM(S86:S87)</f>
        <v>0</v>
      </c>
      <c r="T85" s="801" t="str">
        <f t="shared" si="11"/>
        <v>-</v>
      </c>
    </row>
    <row r="86" spans="1:20" ht="26.4" x14ac:dyDescent="0.25">
      <c r="A86" s="966" t="s">
        <v>716</v>
      </c>
      <c r="B86" s="969" t="s">
        <v>715</v>
      </c>
      <c r="C86" s="799">
        <f t="shared" si="10"/>
        <v>47800</v>
      </c>
      <c r="D86" s="799">
        <f t="shared" si="10"/>
        <v>47045.474629999997</v>
      </c>
      <c r="E86" s="800">
        <f t="shared" si="12"/>
        <v>98.421495041840998</v>
      </c>
      <c r="F86" s="799"/>
      <c r="G86" s="799"/>
      <c r="H86" s="800" t="str">
        <f t="shared" si="13"/>
        <v>-</v>
      </c>
      <c r="I86" s="799"/>
      <c r="J86" s="799"/>
      <c r="K86" s="800" t="str">
        <f t="shared" si="14"/>
        <v>-</v>
      </c>
      <c r="L86" s="799"/>
      <c r="M86" s="799"/>
      <c r="N86" s="800" t="str">
        <f t="shared" si="15"/>
        <v>-</v>
      </c>
      <c r="O86" s="799">
        <v>47800</v>
      </c>
      <c r="P86" s="799">
        <v>47045.474629999997</v>
      </c>
      <c r="Q86" s="800">
        <f t="shared" si="16"/>
        <v>98.421495041840998</v>
      </c>
      <c r="R86" s="799"/>
      <c r="S86" s="799"/>
      <c r="T86" s="801" t="str">
        <f t="shared" si="11"/>
        <v>-</v>
      </c>
    </row>
    <row r="87" spans="1:20" x14ac:dyDescent="0.25">
      <c r="A87" s="966" t="s">
        <v>1226</v>
      </c>
      <c r="B87" s="969" t="s">
        <v>1227</v>
      </c>
      <c r="C87" s="799">
        <f t="shared" si="10"/>
        <v>49922.888890000002</v>
      </c>
      <c r="D87" s="799">
        <f t="shared" si="10"/>
        <v>49922.888890000002</v>
      </c>
      <c r="E87" s="800">
        <f t="shared" si="12"/>
        <v>100</v>
      </c>
      <c r="F87" s="799"/>
      <c r="G87" s="799"/>
      <c r="H87" s="800" t="str">
        <f t="shared" si="13"/>
        <v>-</v>
      </c>
      <c r="I87" s="799"/>
      <c r="J87" s="799"/>
      <c r="K87" s="800" t="str">
        <f t="shared" si="14"/>
        <v>-</v>
      </c>
      <c r="L87" s="799"/>
      <c r="M87" s="799"/>
      <c r="N87" s="800" t="str">
        <f t="shared" si="15"/>
        <v>-</v>
      </c>
      <c r="O87" s="799">
        <v>49922.888890000002</v>
      </c>
      <c r="P87" s="799">
        <v>49922.888890000002</v>
      </c>
      <c r="Q87" s="800">
        <f t="shared" si="16"/>
        <v>100</v>
      </c>
      <c r="R87" s="799"/>
      <c r="S87" s="799"/>
      <c r="T87" s="801" t="str">
        <f t="shared" si="11"/>
        <v>-</v>
      </c>
    </row>
    <row r="88" spans="1:20" ht="39.6" x14ac:dyDescent="0.25">
      <c r="A88" s="965" t="s">
        <v>1296</v>
      </c>
      <c r="B88" s="969" t="s">
        <v>683</v>
      </c>
      <c r="C88" s="799">
        <f t="shared" si="10"/>
        <v>3700</v>
      </c>
      <c r="D88" s="799">
        <f t="shared" si="10"/>
        <v>3700</v>
      </c>
      <c r="E88" s="800">
        <f t="shared" si="12"/>
        <v>100</v>
      </c>
      <c r="F88" s="799">
        <f>+F89</f>
        <v>0</v>
      </c>
      <c r="G88" s="799">
        <f>+G89</f>
        <v>0</v>
      </c>
      <c r="H88" s="800" t="str">
        <f t="shared" si="13"/>
        <v>-</v>
      </c>
      <c r="I88" s="799">
        <f>+I89</f>
        <v>0</v>
      </c>
      <c r="J88" s="799">
        <f>+J89</f>
        <v>0</v>
      </c>
      <c r="K88" s="800" t="str">
        <f t="shared" si="14"/>
        <v>-</v>
      </c>
      <c r="L88" s="799">
        <f>+L89</f>
        <v>0</v>
      </c>
      <c r="M88" s="799">
        <f>+M89</f>
        <v>0</v>
      </c>
      <c r="N88" s="800" t="str">
        <f t="shared" si="15"/>
        <v>-</v>
      </c>
      <c r="O88" s="799">
        <f>+O89</f>
        <v>3700</v>
      </c>
      <c r="P88" s="799">
        <f>+P89</f>
        <v>3700</v>
      </c>
      <c r="Q88" s="800">
        <f t="shared" si="16"/>
        <v>100</v>
      </c>
      <c r="R88" s="799">
        <f>+R89</f>
        <v>0</v>
      </c>
      <c r="S88" s="799">
        <f>+S89</f>
        <v>0</v>
      </c>
      <c r="T88" s="801" t="str">
        <f t="shared" si="11"/>
        <v>-</v>
      </c>
    </row>
    <row r="89" spans="1:20" x14ac:dyDescent="0.25">
      <c r="A89" s="966" t="s">
        <v>1226</v>
      </c>
      <c r="B89" s="969" t="s">
        <v>1227</v>
      </c>
      <c r="C89" s="799">
        <f t="shared" si="10"/>
        <v>3700</v>
      </c>
      <c r="D89" s="799">
        <f t="shared" si="10"/>
        <v>3700</v>
      </c>
      <c r="E89" s="800">
        <f t="shared" si="12"/>
        <v>100</v>
      </c>
      <c r="F89" s="799"/>
      <c r="G89" s="799"/>
      <c r="H89" s="800" t="str">
        <f t="shared" si="13"/>
        <v>-</v>
      </c>
      <c r="I89" s="799"/>
      <c r="J89" s="799"/>
      <c r="K89" s="800" t="str">
        <f t="shared" si="14"/>
        <v>-</v>
      </c>
      <c r="L89" s="799"/>
      <c r="M89" s="799"/>
      <c r="N89" s="800" t="str">
        <f t="shared" si="15"/>
        <v>-</v>
      </c>
      <c r="O89" s="799">
        <v>3700</v>
      </c>
      <c r="P89" s="799">
        <v>3700</v>
      </c>
      <c r="Q89" s="800">
        <f t="shared" si="16"/>
        <v>100</v>
      </c>
      <c r="R89" s="799"/>
      <c r="S89" s="799"/>
      <c r="T89" s="801" t="str">
        <f t="shared" si="11"/>
        <v>-</v>
      </c>
    </row>
    <row r="90" spans="1:20" x14ac:dyDescent="0.25">
      <c r="A90" s="965" t="s">
        <v>1297</v>
      </c>
      <c r="B90" s="969" t="s">
        <v>1298</v>
      </c>
      <c r="C90" s="799">
        <f t="shared" si="10"/>
        <v>2302537.26834</v>
      </c>
      <c r="D90" s="799">
        <f t="shared" si="10"/>
        <v>1906043.9066899999</v>
      </c>
      <c r="E90" s="800">
        <f t="shared" si="12"/>
        <v>82.780154436507786</v>
      </c>
      <c r="F90" s="799">
        <f>+F91+F94+F96+F98+F101</f>
        <v>703030.2</v>
      </c>
      <c r="G90" s="799">
        <f>+G91+G94+G96+G98+G101</f>
        <v>306662.08740999998</v>
      </c>
      <c r="H90" s="800">
        <f t="shared" si="13"/>
        <v>43.620044687980688</v>
      </c>
      <c r="I90" s="799">
        <f>+I91+I94+I96+I98+I101</f>
        <v>84958.061199999996</v>
      </c>
      <c r="J90" s="799">
        <f>+J91+J94+J96+J98+J101</f>
        <v>84958.036389999994</v>
      </c>
      <c r="K90" s="800">
        <f t="shared" si="14"/>
        <v>99.999970797356184</v>
      </c>
      <c r="L90" s="799">
        <f>+L91+L94+L96+L98+L101</f>
        <v>1514549.0071399999</v>
      </c>
      <c r="M90" s="799">
        <f>+M91+M94+M96+M98+M101</f>
        <v>1514423.7828899999</v>
      </c>
      <c r="N90" s="800">
        <f t="shared" si="15"/>
        <v>99.991731911650945</v>
      </c>
      <c r="O90" s="799">
        <f>+O91+O94+O96+O98+O101</f>
        <v>0</v>
      </c>
      <c r="P90" s="799">
        <f>+P91+P94+P96+P98+P101</f>
        <v>0</v>
      </c>
      <c r="Q90" s="800" t="str">
        <f t="shared" si="16"/>
        <v>-</v>
      </c>
      <c r="R90" s="799">
        <f>+R91+R94+R96+R98+R101</f>
        <v>0</v>
      </c>
      <c r="S90" s="799">
        <f>+S91+S94+S96+S98+S101</f>
        <v>0</v>
      </c>
      <c r="T90" s="801" t="str">
        <f t="shared" si="11"/>
        <v>-</v>
      </c>
    </row>
    <row r="91" spans="1:20" ht="26.4" x14ac:dyDescent="0.25">
      <c r="A91" s="965" t="s">
        <v>1299</v>
      </c>
      <c r="B91" s="969" t="s">
        <v>1300</v>
      </c>
      <c r="C91" s="799">
        <f t="shared" si="10"/>
        <v>195908.95</v>
      </c>
      <c r="D91" s="799">
        <f t="shared" si="10"/>
        <v>195908.95</v>
      </c>
      <c r="E91" s="800">
        <f t="shared" si="12"/>
        <v>100</v>
      </c>
      <c r="F91" s="799">
        <f>SUM(F92:F93)</f>
        <v>53030.2</v>
      </c>
      <c r="G91" s="799">
        <f>SUM(G92:G93)</f>
        <v>53030.2</v>
      </c>
      <c r="H91" s="800">
        <f t="shared" si="13"/>
        <v>100</v>
      </c>
      <c r="I91" s="799">
        <f>SUM(I92:I93)</f>
        <v>0</v>
      </c>
      <c r="J91" s="799">
        <f>SUM(J92:J93)</f>
        <v>0</v>
      </c>
      <c r="K91" s="800" t="str">
        <f t="shared" si="14"/>
        <v>-</v>
      </c>
      <c r="L91" s="799">
        <f>SUM(L92:L93)</f>
        <v>142878.75</v>
      </c>
      <c r="M91" s="799">
        <f>SUM(M92:M93)</f>
        <v>142878.75</v>
      </c>
      <c r="N91" s="800">
        <f t="shared" si="15"/>
        <v>100</v>
      </c>
      <c r="O91" s="799">
        <f>SUM(O92:O93)</f>
        <v>0</v>
      </c>
      <c r="P91" s="799">
        <f>SUM(P92:P93)</f>
        <v>0</v>
      </c>
      <c r="Q91" s="800" t="str">
        <f t="shared" si="16"/>
        <v>-</v>
      </c>
      <c r="R91" s="799">
        <f>SUM(R92:R93)</f>
        <v>0</v>
      </c>
      <c r="S91" s="799">
        <f>SUM(S92:S93)</f>
        <v>0</v>
      </c>
      <c r="T91" s="801" t="str">
        <f t="shared" si="11"/>
        <v>-</v>
      </c>
    </row>
    <row r="92" spans="1:20" ht="26.4" x14ac:dyDescent="0.25">
      <c r="A92" s="966" t="s">
        <v>716</v>
      </c>
      <c r="B92" s="969" t="s">
        <v>715</v>
      </c>
      <c r="C92" s="799">
        <f t="shared" si="10"/>
        <v>53030.2</v>
      </c>
      <c r="D92" s="799">
        <f t="shared" si="10"/>
        <v>53030.2</v>
      </c>
      <c r="E92" s="800">
        <f t="shared" si="12"/>
        <v>100</v>
      </c>
      <c r="F92" s="799">
        <v>53030.2</v>
      </c>
      <c r="G92" s="799">
        <v>53030.2</v>
      </c>
      <c r="H92" s="800">
        <f t="shared" si="13"/>
        <v>100</v>
      </c>
      <c r="I92" s="799"/>
      <c r="J92" s="799"/>
      <c r="K92" s="800" t="str">
        <f t="shared" si="14"/>
        <v>-</v>
      </c>
      <c r="L92" s="799"/>
      <c r="M92" s="799"/>
      <c r="N92" s="800" t="str">
        <f t="shared" si="15"/>
        <v>-</v>
      </c>
      <c r="O92" s="799"/>
      <c r="P92" s="799"/>
      <c r="Q92" s="800" t="str">
        <f t="shared" si="16"/>
        <v>-</v>
      </c>
      <c r="R92" s="799"/>
      <c r="S92" s="799"/>
      <c r="T92" s="801" t="str">
        <f t="shared" si="11"/>
        <v>-</v>
      </c>
    </row>
    <row r="93" spans="1:20" x14ac:dyDescent="0.25">
      <c r="A93" s="966" t="s">
        <v>850</v>
      </c>
      <c r="B93" s="969" t="s">
        <v>849</v>
      </c>
      <c r="C93" s="799">
        <f t="shared" si="10"/>
        <v>142878.75</v>
      </c>
      <c r="D93" s="799">
        <f t="shared" si="10"/>
        <v>142878.75</v>
      </c>
      <c r="E93" s="800">
        <f t="shared" si="12"/>
        <v>100</v>
      </c>
      <c r="F93" s="799"/>
      <c r="G93" s="799"/>
      <c r="H93" s="800" t="str">
        <f t="shared" si="13"/>
        <v>-</v>
      </c>
      <c r="I93" s="799"/>
      <c r="J93" s="799"/>
      <c r="K93" s="800" t="str">
        <f t="shared" si="14"/>
        <v>-</v>
      </c>
      <c r="L93" s="799">
        <v>142878.75</v>
      </c>
      <c r="M93" s="799">
        <v>142878.75</v>
      </c>
      <c r="N93" s="800">
        <f t="shared" si="15"/>
        <v>100</v>
      </c>
      <c r="O93" s="799"/>
      <c r="P93" s="799"/>
      <c r="Q93" s="800" t="str">
        <f t="shared" si="16"/>
        <v>-</v>
      </c>
      <c r="R93" s="799"/>
      <c r="S93" s="799"/>
      <c r="T93" s="801" t="str">
        <f t="shared" si="11"/>
        <v>-</v>
      </c>
    </row>
    <row r="94" spans="1:20" ht="26.4" x14ac:dyDescent="0.25">
      <c r="A94" s="965" t="s">
        <v>1301</v>
      </c>
      <c r="B94" s="969" t="s">
        <v>1302</v>
      </c>
      <c r="C94" s="799">
        <f t="shared" si="10"/>
        <v>247841.96119999999</v>
      </c>
      <c r="D94" s="799">
        <f t="shared" si="10"/>
        <v>247716.71213999999</v>
      </c>
      <c r="E94" s="800">
        <f t="shared" si="12"/>
        <v>99.949464142636074</v>
      </c>
      <c r="F94" s="799">
        <f>+F95</f>
        <v>0</v>
      </c>
      <c r="G94" s="799">
        <f>+G95</f>
        <v>0</v>
      </c>
      <c r="H94" s="800" t="str">
        <f t="shared" si="13"/>
        <v>-</v>
      </c>
      <c r="I94" s="799">
        <f>+I95</f>
        <v>84958.061199999996</v>
      </c>
      <c r="J94" s="799">
        <f>+J95</f>
        <v>84958.036389999994</v>
      </c>
      <c r="K94" s="800">
        <f t="shared" si="14"/>
        <v>99.999970797356184</v>
      </c>
      <c r="L94" s="799">
        <f>+L95</f>
        <v>162883.9</v>
      </c>
      <c r="M94" s="799">
        <f>+M95</f>
        <v>162758.67574999999</v>
      </c>
      <c r="N94" s="800">
        <f t="shared" si="15"/>
        <v>99.923120547825789</v>
      </c>
      <c r="O94" s="799">
        <f>+O95</f>
        <v>0</v>
      </c>
      <c r="P94" s="799">
        <f>+P95</f>
        <v>0</v>
      </c>
      <c r="Q94" s="800" t="str">
        <f t="shared" si="16"/>
        <v>-</v>
      </c>
      <c r="R94" s="799">
        <f>+R95</f>
        <v>0</v>
      </c>
      <c r="S94" s="799">
        <f>+S95</f>
        <v>0</v>
      </c>
      <c r="T94" s="801" t="str">
        <f t="shared" si="11"/>
        <v>-</v>
      </c>
    </row>
    <row r="95" spans="1:20" x14ac:dyDescent="0.25">
      <c r="A95" s="966" t="s">
        <v>850</v>
      </c>
      <c r="B95" s="969" t="s">
        <v>849</v>
      </c>
      <c r="C95" s="799">
        <f t="shared" si="10"/>
        <v>247841.96119999999</v>
      </c>
      <c r="D95" s="799">
        <f t="shared" si="10"/>
        <v>247716.71213999999</v>
      </c>
      <c r="E95" s="800">
        <f t="shared" si="12"/>
        <v>99.949464142636074</v>
      </c>
      <c r="F95" s="799"/>
      <c r="G95" s="799"/>
      <c r="H95" s="800" t="str">
        <f t="shared" si="13"/>
        <v>-</v>
      </c>
      <c r="I95" s="799">
        <v>84958.061199999996</v>
      </c>
      <c r="J95" s="799">
        <v>84958.036389999994</v>
      </c>
      <c r="K95" s="800">
        <f t="shared" si="14"/>
        <v>99.999970797356184</v>
      </c>
      <c r="L95" s="799">
        <v>162883.9</v>
      </c>
      <c r="M95" s="799">
        <v>162758.67574999999</v>
      </c>
      <c r="N95" s="800">
        <f t="shared" si="15"/>
        <v>99.923120547825789</v>
      </c>
      <c r="O95" s="799"/>
      <c r="P95" s="799"/>
      <c r="Q95" s="800" t="str">
        <f t="shared" si="16"/>
        <v>-</v>
      </c>
      <c r="R95" s="799"/>
      <c r="S95" s="799"/>
      <c r="T95" s="801" t="str">
        <f t="shared" si="11"/>
        <v>-</v>
      </c>
    </row>
    <row r="96" spans="1:20" ht="26.4" x14ac:dyDescent="0.25">
      <c r="A96" s="965" t="s">
        <v>1303</v>
      </c>
      <c r="B96" s="969" t="s">
        <v>1304</v>
      </c>
      <c r="C96" s="799">
        <f t="shared" si="10"/>
        <v>550778.9</v>
      </c>
      <c r="D96" s="799">
        <f t="shared" si="10"/>
        <v>550778.9</v>
      </c>
      <c r="E96" s="800">
        <f t="shared" si="12"/>
        <v>100</v>
      </c>
      <c r="F96" s="799">
        <f>+F97</f>
        <v>0</v>
      </c>
      <c r="G96" s="799">
        <f>+G97</f>
        <v>0</v>
      </c>
      <c r="H96" s="800" t="str">
        <f t="shared" si="13"/>
        <v>-</v>
      </c>
      <c r="I96" s="799">
        <f>+I97</f>
        <v>0</v>
      </c>
      <c r="J96" s="799">
        <f>+J97</f>
        <v>0</v>
      </c>
      <c r="K96" s="800" t="str">
        <f t="shared" si="14"/>
        <v>-</v>
      </c>
      <c r="L96" s="799">
        <f>+L97</f>
        <v>550778.9</v>
      </c>
      <c r="M96" s="799">
        <f>+M97</f>
        <v>550778.9</v>
      </c>
      <c r="N96" s="800">
        <f t="shared" si="15"/>
        <v>100</v>
      </c>
      <c r="O96" s="799">
        <f>+O97</f>
        <v>0</v>
      </c>
      <c r="P96" s="799">
        <f>+P97</f>
        <v>0</v>
      </c>
      <c r="Q96" s="800" t="str">
        <f t="shared" si="16"/>
        <v>-</v>
      </c>
      <c r="R96" s="799">
        <f>+R97</f>
        <v>0</v>
      </c>
      <c r="S96" s="799">
        <f>+S97</f>
        <v>0</v>
      </c>
      <c r="T96" s="801" t="str">
        <f t="shared" si="11"/>
        <v>-</v>
      </c>
    </row>
    <row r="97" spans="1:20" x14ac:dyDescent="0.25">
      <c r="A97" s="966" t="s">
        <v>850</v>
      </c>
      <c r="B97" s="969" t="s">
        <v>849</v>
      </c>
      <c r="C97" s="799">
        <f t="shared" si="10"/>
        <v>550778.9</v>
      </c>
      <c r="D97" s="799">
        <f t="shared" si="10"/>
        <v>550778.9</v>
      </c>
      <c r="E97" s="800">
        <f t="shared" si="12"/>
        <v>100</v>
      </c>
      <c r="F97" s="799"/>
      <c r="G97" s="799"/>
      <c r="H97" s="800" t="str">
        <f t="shared" si="13"/>
        <v>-</v>
      </c>
      <c r="I97" s="799"/>
      <c r="J97" s="799"/>
      <c r="K97" s="800" t="str">
        <f t="shared" si="14"/>
        <v>-</v>
      </c>
      <c r="L97" s="799">
        <v>550778.9</v>
      </c>
      <c r="M97" s="799">
        <v>550778.9</v>
      </c>
      <c r="N97" s="800">
        <f t="shared" si="15"/>
        <v>100</v>
      </c>
      <c r="O97" s="799"/>
      <c r="P97" s="799"/>
      <c r="Q97" s="800" t="str">
        <f t="shared" si="16"/>
        <v>-</v>
      </c>
      <c r="R97" s="799"/>
      <c r="S97" s="799"/>
      <c r="T97" s="801" t="str">
        <f t="shared" si="11"/>
        <v>-</v>
      </c>
    </row>
    <row r="98" spans="1:20" ht="39.6" x14ac:dyDescent="0.25">
      <c r="A98" s="965" t="s">
        <v>1305</v>
      </c>
      <c r="B98" s="969" t="s">
        <v>1306</v>
      </c>
      <c r="C98" s="799">
        <f>+F98+I98+L98+O98+R98</f>
        <v>797164.6</v>
      </c>
      <c r="D98" s="799">
        <f t="shared" si="10"/>
        <v>400796.48741</v>
      </c>
      <c r="E98" s="800">
        <f t="shared" si="12"/>
        <v>50.277757869579254</v>
      </c>
      <c r="F98" s="799">
        <f>SUM(F99:F100)</f>
        <v>650000</v>
      </c>
      <c r="G98" s="799">
        <f>SUM(G99:G100)</f>
        <v>253631.88741</v>
      </c>
      <c r="H98" s="800">
        <f t="shared" si="13"/>
        <v>39.020290370769231</v>
      </c>
      <c r="I98" s="799">
        <f>SUM(I99:I100)</f>
        <v>0</v>
      </c>
      <c r="J98" s="799">
        <f>SUM(J99:J100)</f>
        <v>0</v>
      </c>
      <c r="K98" s="800" t="str">
        <f t="shared" si="14"/>
        <v>-</v>
      </c>
      <c r="L98" s="799">
        <f>SUM(L99:L100)</f>
        <v>147164.6</v>
      </c>
      <c r="M98" s="799">
        <f>SUM(M99:M100)</f>
        <v>147164.6</v>
      </c>
      <c r="N98" s="800">
        <f t="shared" si="15"/>
        <v>100</v>
      </c>
      <c r="O98" s="799">
        <f>SUM(O99:O100)</f>
        <v>0</v>
      </c>
      <c r="P98" s="799">
        <f>SUM(P99:P100)</f>
        <v>0</v>
      </c>
      <c r="Q98" s="800" t="str">
        <f t="shared" si="16"/>
        <v>-</v>
      </c>
      <c r="R98" s="799">
        <f>SUM(R99:R100)</f>
        <v>0</v>
      </c>
      <c r="S98" s="799">
        <f>SUM(S99:S100)</f>
        <v>0</v>
      </c>
      <c r="T98" s="801" t="str">
        <f t="shared" si="11"/>
        <v>-</v>
      </c>
    </row>
    <row r="99" spans="1:20" ht="26.4" x14ac:dyDescent="0.25">
      <c r="A99" s="966" t="s">
        <v>716</v>
      </c>
      <c r="B99" s="969" t="s">
        <v>715</v>
      </c>
      <c r="C99" s="799">
        <f t="shared" ref="C99" si="17">+F99+I99+L99+O99+R99</f>
        <v>650000</v>
      </c>
      <c r="D99" s="799">
        <f t="shared" si="10"/>
        <v>253631.88741</v>
      </c>
      <c r="E99" s="800">
        <f t="shared" si="12"/>
        <v>39.020290370769231</v>
      </c>
      <c r="F99" s="799">
        <v>650000</v>
      </c>
      <c r="G99" s="799">
        <v>253631.88741</v>
      </c>
      <c r="H99" s="800">
        <f t="shared" si="13"/>
        <v>39.020290370769231</v>
      </c>
      <c r="I99" s="799"/>
      <c r="J99" s="799"/>
      <c r="K99" s="800" t="str">
        <f t="shared" si="14"/>
        <v>-</v>
      </c>
      <c r="L99" s="799"/>
      <c r="M99" s="799"/>
      <c r="N99" s="800" t="str">
        <f t="shared" si="15"/>
        <v>-</v>
      </c>
      <c r="O99" s="799"/>
      <c r="P99" s="799"/>
      <c r="Q99" s="800" t="str">
        <f t="shared" si="16"/>
        <v>-</v>
      </c>
      <c r="R99" s="799"/>
      <c r="S99" s="799"/>
      <c r="T99" s="801" t="str">
        <f t="shared" si="11"/>
        <v>-</v>
      </c>
    </row>
    <row r="100" spans="1:20" x14ac:dyDescent="0.25">
      <c r="A100" s="966" t="s">
        <v>850</v>
      </c>
      <c r="B100" s="969" t="s">
        <v>849</v>
      </c>
      <c r="C100" s="799">
        <f t="shared" si="10"/>
        <v>147164.6</v>
      </c>
      <c r="D100" s="799">
        <f t="shared" si="10"/>
        <v>147164.6</v>
      </c>
      <c r="E100" s="800">
        <f t="shared" si="12"/>
        <v>100</v>
      </c>
      <c r="F100" s="799"/>
      <c r="G100" s="799"/>
      <c r="H100" s="800" t="str">
        <f t="shared" si="13"/>
        <v>-</v>
      </c>
      <c r="I100" s="799"/>
      <c r="J100" s="799"/>
      <c r="K100" s="800" t="str">
        <f t="shared" si="14"/>
        <v>-</v>
      </c>
      <c r="L100" s="799">
        <v>147164.6</v>
      </c>
      <c r="M100" s="799">
        <v>147164.6</v>
      </c>
      <c r="N100" s="800">
        <f t="shared" si="15"/>
        <v>100</v>
      </c>
      <c r="O100" s="799"/>
      <c r="P100" s="799"/>
      <c r="Q100" s="800" t="str">
        <f t="shared" si="16"/>
        <v>-</v>
      </c>
      <c r="R100" s="799"/>
      <c r="S100" s="799"/>
      <c r="T100" s="801" t="str">
        <f t="shared" si="11"/>
        <v>-</v>
      </c>
    </row>
    <row r="101" spans="1:20" ht="52.8" x14ac:dyDescent="0.25">
      <c r="A101" s="965" t="s">
        <v>1307</v>
      </c>
      <c r="B101" s="969" t="s">
        <v>1308</v>
      </c>
      <c r="C101" s="799">
        <f t="shared" si="10"/>
        <v>510842.85713999998</v>
      </c>
      <c r="D101" s="799">
        <f t="shared" si="10"/>
        <v>510842.85713999998</v>
      </c>
      <c r="E101" s="800">
        <f t="shared" si="12"/>
        <v>100</v>
      </c>
      <c r="F101" s="799">
        <f>+F102</f>
        <v>0</v>
      </c>
      <c r="G101" s="799">
        <f>+G102</f>
        <v>0</v>
      </c>
      <c r="H101" s="800" t="str">
        <f t="shared" si="13"/>
        <v>-</v>
      </c>
      <c r="I101" s="799">
        <f>+I102</f>
        <v>0</v>
      </c>
      <c r="J101" s="799">
        <f>+J102</f>
        <v>0</v>
      </c>
      <c r="K101" s="800" t="str">
        <f t="shared" si="14"/>
        <v>-</v>
      </c>
      <c r="L101" s="799">
        <f>+L102</f>
        <v>510842.85713999998</v>
      </c>
      <c r="M101" s="799">
        <f>+M102</f>
        <v>510842.85713999998</v>
      </c>
      <c r="N101" s="800">
        <f t="shared" si="15"/>
        <v>100</v>
      </c>
      <c r="O101" s="799">
        <f>+O102</f>
        <v>0</v>
      </c>
      <c r="P101" s="799">
        <f>+P102</f>
        <v>0</v>
      </c>
      <c r="Q101" s="800" t="str">
        <f t="shared" si="16"/>
        <v>-</v>
      </c>
      <c r="R101" s="799">
        <f>+R102</f>
        <v>0</v>
      </c>
      <c r="S101" s="799">
        <f>+S102</f>
        <v>0</v>
      </c>
      <c r="T101" s="801" t="str">
        <f t="shared" si="11"/>
        <v>-</v>
      </c>
    </row>
    <row r="102" spans="1:20" x14ac:dyDescent="0.25">
      <c r="A102" s="966" t="s">
        <v>850</v>
      </c>
      <c r="B102" s="969" t="s">
        <v>849</v>
      </c>
      <c r="C102" s="799">
        <f t="shared" si="10"/>
        <v>510842.85713999998</v>
      </c>
      <c r="D102" s="799">
        <f t="shared" si="10"/>
        <v>510842.85713999998</v>
      </c>
      <c r="E102" s="800">
        <f>IF(C102=0,"-",D102/C102*100)</f>
        <v>100</v>
      </c>
      <c r="F102" s="799"/>
      <c r="G102" s="799"/>
      <c r="H102" s="800" t="str">
        <f t="shared" si="13"/>
        <v>-</v>
      </c>
      <c r="I102" s="799"/>
      <c r="J102" s="799"/>
      <c r="K102" s="800" t="str">
        <f t="shared" si="14"/>
        <v>-</v>
      </c>
      <c r="L102" s="799">
        <v>510842.85713999998</v>
      </c>
      <c r="M102" s="799">
        <v>510842.85713999998</v>
      </c>
      <c r="N102" s="800">
        <f t="shared" si="15"/>
        <v>100</v>
      </c>
      <c r="O102" s="799"/>
      <c r="P102" s="799"/>
      <c r="Q102" s="800" t="str">
        <f t="shared" si="16"/>
        <v>-</v>
      </c>
      <c r="R102" s="799"/>
      <c r="S102" s="799"/>
      <c r="T102" s="801" t="str">
        <f t="shared" si="11"/>
        <v>-</v>
      </c>
    </row>
    <row r="103" spans="1:20" ht="13.8" thickBot="1" x14ac:dyDescent="0.3">
      <c r="A103" s="968" t="s">
        <v>318</v>
      </c>
      <c r="B103" s="971"/>
      <c r="C103" s="804">
        <f>+C9+C18+C31+C41+C48+C51+C62+C70+C84+C90</f>
        <v>18356185.269069999</v>
      </c>
      <c r="D103" s="804">
        <f>+D9+D18+D31+D41+D48+D51+D62+D70+D84+D90</f>
        <v>15132757.418270001</v>
      </c>
      <c r="E103" s="805">
        <f>IF(C103=0,"-",D103/C103*100)</f>
        <v>82.439554822801639</v>
      </c>
      <c r="F103" s="804">
        <f>+F9+F18+F31+F41+F48+F51+F62+F70+F84+F90</f>
        <v>6571669.1951000001</v>
      </c>
      <c r="G103" s="804">
        <f>+G9+G18+G31+G41+G48+G51+G62+G70+G84+G90</f>
        <v>4806319.0491599999</v>
      </c>
      <c r="H103" s="805">
        <f t="shared" si="13"/>
        <v>73.136959674472209</v>
      </c>
      <c r="I103" s="804">
        <f>+I9+I18+I31+I41+I48+I51+I62+I70+I84+I90</f>
        <v>2072940.1788599999</v>
      </c>
      <c r="J103" s="804">
        <f>+J9+J18+J31+J41+J48+J51+J62+J70+J84+J90</f>
        <v>2039783.5943600002</v>
      </c>
      <c r="K103" s="805">
        <f t="shared" si="14"/>
        <v>98.400504518261883</v>
      </c>
      <c r="L103" s="804">
        <f>+L9+L18+L31+L41+L48+L51+L62+L70+L84+L90</f>
        <v>2238305.3758899998</v>
      </c>
      <c r="M103" s="804">
        <f>+M9+M18+M31+M41+M48+M51+M62+M70+M84+M90</f>
        <v>2236718.74199</v>
      </c>
      <c r="N103" s="805">
        <f t="shared" si="15"/>
        <v>99.9291145025567</v>
      </c>
      <c r="O103" s="804">
        <f>+O9+O18+O31+O41+O48+O51+O62+O70+O84+O90</f>
        <v>7348628.2025199998</v>
      </c>
      <c r="P103" s="804">
        <f>+P9+P18+P31+P41+P48+P51+P62+P70+P84+P90</f>
        <v>5925293.7160599995</v>
      </c>
      <c r="Q103" s="805">
        <f t="shared" si="16"/>
        <v>80.631289987267166</v>
      </c>
      <c r="R103" s="804">
        <f>+R9+R18+R31+R41+R48+R51+R62+R70+R84+R90</f>
        <v>124642.3167</v>
      </c>
      <c r="S103" s="804">
        <f>+S9+S18+S31+S41+S48+S51+S62+S70+S84+S90</f>
        <v>124642.3167</v>
      </c>
      <c r="T103" s="806">
        <f t="shared" si="11"/>
        <v>100</v>
      </c>
    </row>
    <row r="104" spans="1:20" ht="13.8" thickTop="1" x14ac:dyDescent="0.25"/>
  </sheetData>
  <mergeCells count="10">
    <mergeCell ref="A3:T3"/>
    <mergeCell ref="A6:A8"/>
    <mergeCell ref="B6:B8"/>
    <mergeCell ref="C6:E7"/>
    <mergeCell ref="F6:T6"/>
    <mergeCell ref="F7:H7"/>
    <mergeCell ref="I7:K7"/>
    <mergeCell ref="L7:N7"/>
    <mergeCell ref="O7:Q7"/>
    <mergeCell ref="R7:T7"/>
  </mergeCells>
  <pageMargins left="0.78740157480314965" right="0.39370078740157483" top="0.74803149606299213" bottom="0.74803149606299213" header="0.31496062992125984" footer="0.31496062992125984"/>
  <pageSetup paperSize="8" scale="82" fitToHeight="0"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39"/>
  <sheetViews>
    <sheetView zoomScale="85" zoomScaleNormal="85" workbookViewId="0">
      <pane xSplit="1" ySplit="9" topLeftCell="B10" activePane="bottomRight" state="frozen"/>
      <selection pane="topRight" activeCell="B1" sqref="B1"/>
      <selection pane="bottomLeft" activeCell="A10" sqref="A10"/>
      <selection pane="bottomRight" activeCell="H12" sqref="H12"/>
    </sheetView>
  </sheetViews>
  <sheetFormatPr defaultColWidth="9.109375" defaultRowHeight="13.2" x14ac:dyDescent="0.25"/>
  <cols>
    <col min="1" max="1" width="21.88671875" style="219" bestFit="1" customWidth="1"/>
    <col min="2" max="2" width="11.44140625" style="220" bestFit="1" customWidth="1"/>
    <col min="3" max="4" width="11.44140625" style="220" customWidth="1"/>
    <col min="5" max="5" width="11.109375" style="220" customWidth="1"/>
    <col min="6" max="6" width="11.33203125" style="220" customWidth="1"/>
    <col min="7" max="7" width="11.33203125" style="220" bestFit="1" customWidth="1"/>
    <col min="8" max="8" width="10.33203125" style="220" customWidth="1"/>
    <col min="9" max="9" width="11.5546875" style="220" customWidth="1"/>
    <col min="10" max="10" width="11.33203125" style="220" bestFit="1" customWidth="1"/>
    <col min="11" max="11" width="11" style="220" customWidth="1"/>
    <col min="12" max="12" width="12.33203125" style="220" bestFit="1" customWidth="1"/>
    <col min="13" max="14" width="12.109375" style="220" customWidth="1"/>
    <col min="15" max="16" width="12.33203125" style="220" customWidth="1"/>
    <col min="17" max="17" width="7.33203125" style="220" bestFit="1" customWidth="1"/>
    <col min="18" max="18" width="7.44140625" style="220" customWidth="1"/>
    <col min="19" max="19" width="8.44140625" style="220" bestFit="1" customWidth="1"/>
    <col min="20" max="20" width="8.44140625" style="220" customWidth="1"/>
    <col min="21" max="21" width="8.33203125" style="220" customWidth="1"/>
    <col min="22" max="22" width="12.44140625" style="220" bestFit="1" customWidth="1"/>
    <col min="23" max="23" width="12.109375" style="220" customWidth="1"/>
    <col min="24" max="24" width="12.33203125" style="220" customWidth="1"/>
    <col min="25" max="25" width="12.44140625" style="220" customWidth="1"/>
    <col min="26" max="26" width="12.33203125" style="220" customWidth="1"/>
    <col min="27" max="27" width="7.33203125" style="220" bestFit="1" customWidth="1"/>
    <col min="28" max="28" width="7.33203125" style="220" customWidth="1"/>
    <col min="29" max="29" width="7.44140625" style="220" customWidth="1"/>
    <col min="30" max="30" width="7.33203125" style="220" bestFit="1" customWidth="1"/>
    <col min="31" max="16384" width="9.109375" style="220"/>
  </cols>
  <sheetData>
    <row r="1" spans="1:31" s="288" customFormat="1" ht="21.75" customHeight="1" x14ac:dyDescent="0.25">
      <c r="A1" s="287"/>
      <c r="J1" s="1187" t="s">
        <v>2469</v>
      </c>
      <c r="K1" s="1187"/>
      <c r="T1" s="1187" t="s">
        <v>2469</v>
      </c>
      <c r="U1" s="1187"/>
      <c r="AD1" s="1187" t="s">
        <v>2469</v>
      </c>
      <c r="AE1" s="1187"/>
    </row>
    <row r="2" spans="1:31" s="219" customFormat="1" ht="42.75" customHeight="1" x14ac:dyDescent="0.25">
      <c r="B2" s="1012" t="s">
        <v>1209</v>
      </c>
      <c r="C2" s="1012"/>
      <c r="D2" s="1012"/>
      <c r="E2" s="1012"/>
      <c r="F2" s="1012"/>
      <c r="G2" s="1012"/>
      <c r="H2" s="1012"/>
      <c r="I2" s="1012"/>
      <c r="J2" s="1012"/>
      <c r="K2" s="1012"/>
      <c r="L2" s="278"/>
      <c r="M2" s="278"/>
      <c r="N2" s="278"/>
      <c r="O2" s="278"/>
      <c r="P2" s="278"/>
      <c r="Q2" s="278"/>
      <c r="R2" s="278"/>
      <c r="S2" s="278"/>
      <c r="T2" s="278"/>
      <c r="U2" s="278"/>
      <c r="V2" s="278"/>
      <c r="W2" s="278"/>
      <c r="X2" s="278"/>
      <c r="Y2" s="278"/>
      <c r="Z2" s="278"/>
      <c r="AA2" s="278"/>
      <c r="AB2" s="278"/>
      <c r="AC2" s="278"/>
      <c r="AD2" s="278"/>
    </row>
    <row r="3" spans="1:31" s="219" customFormat="1" ht="13.8" thickBot="1" x14ac:dyDescent="0.3">
      <c r="K3" s="219" t="s">
        <v>180</v>
      </c>
      <c r="U3" s="219" t="s">
        <v>180</v>
      </c>
      <c r="Z3" s="285"/>
      <c r="AB3" s="285"/>
      <c r="AC3" s="285"/>
      <c r="AD3" s="285"/>
      <c r="AE3" s="219" t="s">
        <v>180</v>
      </c>
    </row>
    <row r="4" spans="1:31" s="275" customFormat="1" ht="13.5" customHeight="1" thickTop="1" x14ac:dyDescent="0.25">
      <c r="A4" s="1175" t="s">
        <v>311</v>
      </c>
      <c r="B4" s="1013" t="s">
        <v>366</v>
      </c>
      <c r="C4" s="1013"/>
      <c r="D4" s="1013"/>
      <c r="E4" s="1013"/>
      <c r="F4" s="1013"/>
      <c r="G4" s="1013"/>
      <c r="H4" s="1013"/>
      <c r="I4" s="1013"/>
      <c r="J4" s="1013"/>
      <c r="K4" s="1013"/>
      <c r="L4" s="1013" t="s">
        <v>312</v>
      </c>
      <c r="M4" s="1013"/>
      <c r="N4" s="1013"/>
      <c r="O4" s="1013"/>
      <c r="P4" s="1013"/>
      <c r="Q4" s="1013"/>
      <c r="R4" s="1013"/>
      <c r="S4" s="1013"/>
      <c r="T4" s="1013"/>
      <c r="U4" s="1013"/>
      <c r="V4" s="1013" t="s">
        <v>313</v>
      </c>
      <c r="W4" s="1013"/>
      <c r="X4" s="1013"/>
      <c r="Y4" s="1013"/>
      <c r="Z4" s="1013"/>
      <c r="AA4" s="1013"/>
      <c r="AB4" s="1013"/>
      <c r="AC4" s="1013"/>
      <c r="AD4" s="1188"/>
      <c r="AE4" s="1014"/>
    </row>
    <row r="5" spans="1:31" s="275" customFormat="1" ht="12.75" customHeight="1" x14ac:dyDescent="0.25">
      <c r="A5" s="1176"/>
      <c r="B5" s="1009" t="s">
        <v>628</v>
      </c>
      <c r="C5" s="1179" t="s">
        <v>9</v>
      </c>
      <c r="D5" s="1184"/>
      <c r="E5" s="1184"/>
      <c r="F5" s="1180"/>
      <c r="G5" s="1009" t="s">
        <v>629</v>
      </c>
      <c r="H5" s="1009"/>
      <c r="I5" s="1009"/>
      <c r="J5" s="1009"/>
      <c r="K5" s="1009"/>
      <c r="L5" s="1009" t="s">
        <v>630</v>
      </c>
      <c r="M5" s="1009"/>
      <c r="N5" s="1009"/>
      <c r="O5" s="1009"/>
      <c r="P5" s="1009"/>
      <c r="Q5" s="1009" t="s">
        <v>361</v>
      </c>
      <c r="R5" s="1009"/>
      <c r="S5" s="1009"/>
      <c r="T5" s="1009"/>
      <c r="U5" s="1009"/>
      <c r="V5" s="1009" t="s">
        <v>630</v>
      </c>
      <c r="W5" s="1009"/>
      <c r="X5" s="1009"/>
      <c r="Y5" s="1009"/>
      <c r="Z5" s="1009"/>
      <c r="AA5" s="1009" t="s">
        <v>361</v>
      </c>
      <c r="AB5" s="1009"/>
      <c r="AC5" s="1009"/>
      <c r="AD5" s="1179"/>
      <c r="AE5" s="1010"/>
    </row>
    <row r="6" spans="1:31" s="275" customFormat="1" ht="12.75" customHeight="1" x14ac:dyDescent="0.25">
      <c r="A6" s="1176"/>
      <c r="B6" s="1009"/>
      <c r="C6" s="1177" t="s">
        <v>363</v>
      </c>
      <c r="D6" s="1009" t="s">
        <v>314</v>
      </c>
      <c r="E6" s="1179" t="s">
        <v>368</v>
      </c>
      <c r="F6" s="1180"/>
      <c r="G6" s="1009" t="s">
        <v>186</v>
      </c>
      <c r="H6" s="1009" t="s">
        <v>9</v>
      </c>
      <c r="I6" s="1009"/>
      <c r="J6" s="1009"/>
      <c r="K6" s="1009"/>
      <c r="L6" s="1009" t="s">
        <v>186</v>
      </c>
      <c r="M6" s="1009" t="s">
        <v>9</v>
      </c>
      <c r="N6" s="1009"/>
      <c r="O6" s="1009"/>
      <c r="P6" s="1009"/>
      <c r="Q6" s="1009" t="s">
        <v>186</v>
      </c>
      <c r="R6" s="1009" t="s">
        <v>9</v>
      </c>
      <c r="S6" s="1009"/>
      <c r="T6" s="1009"/>
      <c r="U6" s="1009"/>
      <c r="V6" s="1009" t="s">
        <v>186</v>
      </c>
      <c r="W6" s="1009" t="s">
        <v>9</v>
      </c>
      <c r="X6" s="1009"/>
      <c r="Y6" s="1009"/>
      <c r="Z6" s="1009"/>
      <c r="AA6" s="1009" t="s">
        <v>186</v>
      </c>
      <c r="AB6" s="1009" t="s">
        <v>9</v>
      </c>
      <c r="AC6" s="1009"/>
      <c r="AD6" s="1179"/>
      <c r="AE6" s="1010"/>
    </row>
    <row r="7" spans="1:31" s="275" customFormat="1" ht="12.75" customHeight="1" x14ac:dyDescent="0.25">
      <c r="A7" s="1176"/>
      <c r="B7" s="1009"/>
      <c r="C7" s="1183"/>
      <c r="D7" s="1009"/>
      <c r="E7" s="1177" t="s">
        <v>422</v>
      </c>
      <c r="F7" s="1009" t="s">
        <v>365</v>
      </c>
      <c r="G7" s="1009"/>
      <c r="H7" s="1009" t="s">
        <v>363</v>
      </c>
      <c r="I7" s="1009" t="s">
        <v>314</v>
      </c>
      <c r="J7" s="1179" t="s">
        <v>368</v>
      </c>
      <c r="K7" s="1180"/>
      <c r="L7" s="1009"/>
      <c r="M7" s="1009" t="s">
        <v>363</v>
      </c>
      <c r="N7" s="1009" t="s">
        <v>317</v>
      </c>
      <c r="O7" s="1179" t="s">
        <v>368</v>
      </c>
      <c r="P7" s="1180"/>
      <c r="Q7" s="1009"/>
      <c r="R7" s="1185" t="s">
        <v>367</v>
      </c>
      <c r="S7" s="1185" t="s">
        <v>314</v>
      </c>
      <c r="T7" s="1181" t="s">
        <v>368</v>
      </c>
      <c r="U7" s="1182"/>
      <c r="V7" s="1009"/>
      <c r="W7" s="1009" t="s">
        <v>363</v>
      </c>
      <c r="X7" s="1009" t="s">
        <v>317</v>
      </c>
      <c r="Y7" s="1179" t="s">
        <v>368</v>
      </c>
      <c r="Z7" s="1180"/>
      <c r="AA7" s="1009"/>
      <c r="AB7" s="1185" t="s">
        <v>367</v>
      </c>
      <c r="AC7" s="1185" t="s">
        <v>314</v>
      </c>
      <c r="AD7" s="1181" t="s">
        <v>368</v>
      </c>
      <c r="AE7" s="1186"/>
    </row>
    <row r="8" spans="1:31" s="275" customFormat="1" ht="39.6" x14ac:dyDescent="0.25">
      <c r="A8" s="1176"/>
      <c r="B8" s="1009"/>
      <c r="C8" s="1178"/>
      <c r="D8" s="1009"/>
      <c r="E8" s="1178"/>
      <c r="F8" s="1009"/>
      <c r="G8" s="1009"/>
      <c r="H8" s="1009"/>
      <c r="I8" s="1009"/>
      <c r="J8" s="272" t="s">
        <v>422</v>
      </c>
      <c r="K8" s="272" t="s">
        <v>365</v>
      </c>
      <c r="L8" s="1009"/>
      <c r="M8" s="1009"/>
      <c r="N8" s="1009"/>
      <c r="O8" s="272" t="s">
        <v>422</v>
      </c>
      <c r="P8" s="272" t="s">
        <v>365</v>
      </c>
      <c r="Q8" s="1009"/>
      <c r="R8" s="1185"/>
      <c r="S8" s="1185"/>
      <c r="T8" s="276" t="s">
        <v>422</v>
      </c>
      <c r="U8" s="276" t="s">
        <v>365</v>
      </c>
      <c r="V8" s="1009"/>
      <c r="W8" s="1009"/>
      <c r="X8" s="1009"/>
      <c r="Y8" s="272" t="s">
        <v>422</v>
      </c>
      <c r="Z8" s="272" t="s">
        <v>365</v>
      </c>
      <c r="AA8" s="1009"/>
      <c r="AB8" s="1185"/>
      <c r="AC8" s="1185"/>
      <c r="AD8" s="286" t="s">
        <v>422</v>
      </c>
      <c r="AE8" s="277" t="s">
        <v>365</v>
      </c>
    </row>
    <row r="9" spans="1:31" s="203" customFormat="1" ht="10.199999999999999" x14ac:dyDescent="0.25">
      <c r="A9" s="202">
        <v>1</v>
      </c>
      <c r="B9" s="200">
        <v>2</v>
      </c>
      <c r="C9" s="200">
        <v>3</v>
      </c>
      <c r="D9" s="200">
        <v>4</v>
      </c>
      <c r="E9" s="200">
        <v>5</v>
      </c>
      <c r="F9" s="200">
        <v>6</v>
      </c>
      <c r="G9" s="200">
        <v>7</v>
      </c>
      <c r="H9" s="200">
        <v>8</v>
      </c>
      <c r="I9" s="200">
        <v>9</v>
      </c>
      <c r="J9" s="200">
        <v>10</v>
      </c>
      <c r="K9" s="200">
        <v>11</v>
      </c>
      <c r="L9" s="200">
        <v>12</v>
      </c>
      <c r="M9" s="200">
        <v>13</v>
      </c>
      <c r="N9" s="200">
        <v>14</v>
      </c>
      <c r="O9" s="200">
        <v>15</v>
      </c>
      <c r="P9" s="200">
        <v>16</v>
      </c>
      <c r="Q9" s="200">
        <v>17</v>
      </c>
      <c r="R9" s="200">
        <v>18</v>
      </c>
      <c r="S9" s="200">
        <v>19</v>
      </c>
      <c r="T9" s="200">
        <v>20</v>
      </c>
      <c r="U9" s="200">
        <v>21</v>
      </c>
      <c r="V9" s="200">
        <v>22</v>
      </c>
      <c r="W9" s="200">
        <v>23</v>
      </c>
      <c r="X9" s="200">
        <v>24</v>
      </c>
      <c r="Y9" s="200">
        <v>25</v>
      </c>
      <c r="Z9" s="200">
        <v>26</v>
      </c>
      <c r="AA9" s="200">
        <v>27</v>
      </c>
      <c r="AB9" s="200">
        <v>28</v>
      </c>
      <c r="AC9" s="200">
        <v>29</v>
      </c>
      <c r="AD9" s="280">
        <v>30</v>
      </c>
      <c r="AE9" s="201">
        <v>31</v>
      </c>
    </row>
    <row r="10" spans="1:31" x14ac:dyDescent="0.25">
      <c r="A10" s="221" t="s">
        <v>152</v>
      </c>
      <c r="B10" s="222">
        <v>8836.2411199999988</v>
      </c>
      <c r="C10" s="222">
        <v>2296.6881400000002</v>
      </c>
      <c r="D10" s="222">
        <v>6539.5529799999995</v>
      </c>
      <c r="E10" s="222">
        <v>5651.1246499999997</v>
      </c>
      <c r="F10" s="222">
        <v>888.42832999999996</v>
      </c>
      <c r="G10" s="222">
        <v>4237.4455299999991</v>
      </c>
      <c r="H10" s="222">
        <v>-748.84316999999965</v>
      </c>
      <c r="I10" s="222">
        <v>4986.2886999999992</v>
      </c>
      <c r="J10" s="222">
        <v>4159.6273099999999</v>
      </c>
      <c r="K10" s="222">
        <v>826.66138999999998</v>
      </c>
      <c r="L10" s="222">
        <v>1480226.7802000002</v>
      </c>
      <c r="M10" s="222">
        <v>79459.229210000005</v>
      </c>
      <c r="N10" s="222">
        <v>1400767.5509900001</v>
      </c>
      <c r="O10" s="222">
        <v>157565.33671999999</v>
      </c>
      <c r="P10" s="222">
        <v>1243202.2142700001</v>
      </c>
      <c r="Q10" s="222">
        <v>98.099915741224962</v>
      </c>
      <c r="R10" s="222">
        <v>78.020325722708051</v>
      </c>
      <c r="S10" s="222">
        <v>99.553301921525232</v>
      </c>
      <c r="T10" s="222">
        <v>97.129505827568366</v>
      </c>
      <c r="U10" s="222">
        <v>99.869162347155907</v>
      </c>
      <c r="V10" s="222">
        <v>1476712.68713</v>
      </c>
      <c r="W10" s="222">
        <v>80215.681400000001</v>
      </c>
      <c r="X10" s="222">
        <v>1396497.0057299999</v>
      </c>
      <c r="Y10" s="222">
        <v>153405.70941000001</v>
      </c>
      <c r="Z10" s="222">
        <v>1243091.29632</v>
      </c>
      <c r="AA10" s="222">
        <v>97.523043147997001</v>
      </c>
      <c r="AB10" s="222">
        <v>76.470604071495472</v>
      </c>
      <c r="AC10" s="222">
        <v>99.089999842733292</v>
      </c>
      <c r="AD10" s="281">
        <v>93.703817305229833</v>
      </c>
      <c r="AE10" s="223">
        <v>99.797919167459867</v>
      </c>
    </row>
    <row r="11" spans="1:31" x14ac:dyDescent="0.25">
      <c r="A11" s="221" t="s">
        <v>153</v>
      </c>
      <c r="B11" s="222">
        <v>10189.014380000001</v>
      </c>
      <c r="C11" s="222">
        <v>2544.3506600000001</v>
      </c>
      <c r="D11" s="222">
        <v>7644.6637200000005</v>
      </c>
      <c r="E11" s="222">
        <v>203.26526000000001</v>
      </c>
      <c r="F11" s="222">
        <v>7441.3984600000003</v>
      </c>
      <c r="G11" s="222">
        <v>9020.0487600000015</v>
      </c>
      <c r="H11" s="222">
        <v>2232.6753600000002</v>
      </c>
      <c r="I11" s="222">
        <v>6787.3734000000004</v>
      </c>
      <c r="J11" s="222">
        <v>-418.43726000000004</v>
      </c>
      <c r="K11" s="222">
        <v>7205.8106600000001</v>
      </c>
      <c r="L11" s="222">
        <v>586418.05755999999</v>
      </c>
      <c r="M11" s="222">
        <v>30080.636890000002</v>
      </c>
      <c r="N11" s="222">
        <v>556337.42067000002</v>
      </c>
      <c r="O11" s="222">
        <v>75728.203320000001</v>
      </c>
      <c r="P11" s="222">
        <v>480609.21734999999</v>
      </c>
      <c r="Q11" s="222">
        <v>99.5806955271308</v>
      </c>
      <c r="R11" s="222">
        <v>92.556811409541808</v>
      </c>
      <c r="S11" s="152">
        <v>99.990973787650361</v>
      </c>
      <c r="T11" s="222">
        <v>99.933726874595777</v>
      </c>
      <c r="U11" s="222">
        <v>100</v>
      </c>
      <c r="V11" s="222">
        <v>577374.08998000005</v>
      </c>
      <c r="W11" s="222">
        <v>27847.96153</v>
      </c>
      <c r="X11" s="222">
        <v>549526.12845000008</v>
      </c>
      <c r="Y11" s="222">
        <v>76146.136580000006</v>
      </c>
      <c r="Z11" s="222">
        <v>473379.99187000003</v>
      </c>
      <c r="AA11" s="222">
        <v>97.854568715309313</v>
      </c>
      <c r="AB11" s="222">
        <v>84.873024501280227</v>
      </c>
      <c r="AC11" s="222">
        <v>98.618971411439418</v>
      </c>
      <c r="AD11" s="281">
        <v>99.66755291986685</v>
      </c>
      <c r="AE11" s="223">
        <v>98.452357027025613</v>
      </c>
    </row>
    <row r="12" spans="1:31" x14ac:dyDescent="0.25">
      <c r="A12" s="221" t="s">
        <v>154</v>
      </c>
      <c r="B12" s="222">
        <v>0</v>
      </c>
      <c r="C12" s="222">
        <v>0</v>
      </c>
      <c r="D12" s="222">
        <v>0</v>
      </c>
      <c r="E12" s="222">
        <v>0</v>
      </c>
      <c r="F12" s="222">
        <v>0</v>
      </c>
      <c r="G12" s="222">
        <v>-1603.1043199999999</v>
      </c>
      <c r="H12" s="222">
        <v>-803.10432000000003</v>
      </c>
      <c r="I12" s="222">
        <v>-800</v>
      </c>
      <c r="J12" s="222">
        <v>-800</v>
      </c>
      <c r="K12" s="222">
        <v>0</v>
      </c>
      <c r="L12" s="222">
        <v>454914.43677000003</v>
      </c>
      <c r="M12" s="222">
        <v>25822.793259999999</v>
      </c>
      <c r="N12" s="222">
        <v>429091.64351000002</v>
      </c>
      <c r="O12" s="222">
        <v>61069.483780000002</v>
      </c>
      <c r="P12" s="222">
        <v>368022.15973000001</v>
      </c>
      <c r="Q12" s="222">
        <v>99.407846024460511</v>
      </c>
      <c r="R12" s="222">
        <v>91.416138084893575</v>
      </c>
      <c r="S12" s="222">
        <v>99.933598615605462</v>
      </c>
      <c r="T12" s="222">
        <v>99.535304395923077</v>
      </c>
      <c r="U12" s="222">
        <v>100</v>
      </c>
      <c r="V12" s="222">
        <v>456523.06609000004</v>
      </c>
      <c r="W12" s="222">
        <v>26631.422579999999</v>
      </c>
      <c r="X12" s="222">
        <v>429891.64351000002</v>
      </c>
      <c r="Y12" s="222">
        <v>61869.483780000002</v>
      </c>
      <c r="Z12" s="222">
        <v>368022.15973000001</v>
      </c>
      <c r="AA12" s="222">
        <v>99.584598253267899</v>
      </c>
      <c r="AB12" s="222">
        <v>91.672457402502872</v>
      </c>
      <c r="AC12" s="152">
        <v>100.11991517548651</v>
      </c>
      <c r="AD12" s="429">
        <v>100.83920019768874</v>
      </c>
      <c r="AE12" s="407">
        <v>100</v>
      </c>
    </row>
    <row r="13" spans="1:31" x14ac:dyDescent="0.25">
      <c r="A13" s="221" t="s">
        <v>155</v>
      </c>
      <c r="B13" s="222">
        <v>5716.1265299999995</v>
      </c>
      <c r="C13" s="222">
        <v>2864.8397100000002</v>
      </c>
      <c r="D13" s="222">
        <v>2851.2868199999998</v>
      </c>
      <c r="E13" s="222">
        <v>0</v>
      </c>
      <c r="F13" s="222">
        <v>2851.2868199999998</v>
      </c>
      <c r="G13" s="222">
        <v>3293.9441799999995</v>
      </c>
      <c r="H13" s="222">
        <v>442.65736000000015</v>
      </c>
      <c r="I13" s="222">
        <v>2851.2868199999998</v>
      </c>
      <c r="J13" s="222">
        <v>0</v>
      </c>
      <c r="K13" s="222">
        <v>2851.2868199999998</v>
      </c>
      <c r="L13" s="222">
        <v>611565.30171000003</v>
      </c>
      <c r="M13" s="222">
        <v>19871.436890000001</v>
      </c>
      <c r="N13" s="222">
        <v>591693.86482000002</v>
      </c>
      <c r="O13" s="222">
        <v>125394.61248</v>
      </c>
      <c r="P13" s="222">
        <v>466299.25234000001</v>
      </c>
      <c r="Q13" s="222">
        <v>96.786400596987093</v>
      </c>
      <c r="R13" s="222">
        <v>83.324938676745035</v>
      </c>
      <c r="S13" s="222">
        <v>97.314391574975176</v>
      </c>
      <c r="T13" s="222">
        <v>96.500173254381508</v>
      </c>
      <c r="U13" s="222">
        <v>97.535696217144562</v>
      </c>
      <c r="V13" s="222">
        <v>608271.35752999992</v>
      </c>
      <c r="W13" s="222">
        <v>19428.77953</v>
      </c>
      <c r="X13" s="222">
        <v>588842.57799999998</v>
      </c>
      <c r="Y13" s="222">
        <v>125394.61248</v>
      </c>
      <c r="Z13" s="222">
        <v>463447.96552000003</v>
      </c>
      <c r="AA13" s="222">
        <v>95.900364703196331</v>
      </c>
      <c r="AB13" s="222">
        <v>74.010707598627334</v>
      </c>
      <c r="AC13" s="222">
        <v>96.845447652126722</v>
      </c>
      <c r="AD13" s="281">
        <v>96.500173254381508</v>
      </c>
      <c r="AE13" s="223">
        <v>96.939293276955652</v>
      </c>
    </row>
    <row r="14" spans="1:31" x14ac:dyDescent="0.25">
      <c r="A14" s="221" t="s">
        <v>156</v>
      </c>
      <c r="B14" s="222">
        <v>5695.2993999999999</v>
      </c>
      <c r="C14" s="222">
        <v>3928.5705200000002</v>
      </c>
      <c r="D14" s="222">
        <v>1766.7288800000001</v>
      </c>
      <c r="E14" s="222">
        <v>788.88247000000001</v>
      </c>
      <c r="F14" s="222">
        <v>977.84640999999999</v>
      </c>
      <c r="G14" s="222">
        <v>998.14193999999952</v>
      </c>
      <c r="H14" s="222">
        <v>646.73302000000012</v>
      </c>
      <c r="I14" s="222">
        <v>351.40892000000008</v>
      </c>
      <c r="J14" s="222">
        <v>-462.29088000000002</v>
      </c>
      <c r="K14" s="222">
        <v>813.69979999999998</v>
      </c>
      <c r="L14" s="222">
        <v>599561.57011000009</v>
      </c>
      <c r="M14" s="222">
        <v>32237.501779999999</v>
      </c>
      <c r="N14" s="222">
        <v>567324.06833000004</v>
      </c>
      <c r="O14" s="222">
        <v>60807.32791</v>
      </c>
      <c r="P14" s="222">
        <v>506516.74041999999</v>
      </c>
      <c r="Q14" s="222">
        <v>96.659470449898123</v>
      </c>
      <c r="R14" s="222">
        <v>82.642255600179752</v>
      </c>
      <c r="S14" s="222">
        <v>97.600146764946302</v>
      </c>
      <c r="T14" s="222">
        <v>85.663606302948196</v>
      </c>
      <c r="U14" s="222">
        <v>99.260578553223851</v>
      </c>
      <c r="V14" s="222">
        <v>598563.66605</v>
      </c>
      <c r="W14" s="222">
        <v>31591.00664</v>
      </c>
      <c r="X14" s="222">
        <v>566972.65940999996</v>
      </c>
      <c r="Y14" s="222">
        <v>61269.61879</v>
      </c>
      <c r="Z14" s="222">
        <v>505703.04061999999</v>
      </c>
      <c r="AA14" s="222">
        <v>95.773300593196183</v>
      </c>
      <c r="AB14" s="222">
        <v>74.699879611655362</v>
      </c>
      <c r="AC14" s="222">
        <v>97.302773215284489</v>
      </c>
      <c r="AD14" s="281">
        <v>84.819819890640943</v>
      </c>
      <c r="AE14" s="223">
        <v>99.069252298313259</v>
      </c>
    </row>
    <row r="15" spans="1:31" x14ac:dyDescent="0.25">
      <c r="A15" s="221" t="s">
        <v>157</v>
      </c>
      <c r="B15" s="222">
        <v>5364.1661899999999</v>
      </c>
      <c r="C15" s="222">
        <v>2881.79781</v>
      </c>
      <c r="D15" s="222">
        <v>2482.3683799999999</v>
      </c>
      <c r="E15" s="222">
        <v>2482.3683799999999</v>
      </c>
      <c r="F15" s="222">
        <v>0</v>
      </c>
      <c r="G15" s="222">
        <v>-10284.607400000001</v>
      </c>
      <c r="H15" s="222">
        <v>883.13490000000002</v>
      </c>
      <c r="I15" s="222">
        <v>-11167.7423</v>
      </c>
      <c r="J15" s="222">
        <v>-11167.7423</v>
      </c>
      <c r="K15" s="222">
        <v>0</v>
      </c>
      <c r="L15" s="222">
        <v>745159.15850999986</v>
      </c>
      <c r="M15" s="222">
        <v>35543.65496</v>
      </c>
      <c r="N15" s="222">
        <v>709615.50354999991</v>
      </c>
      <c r="O15" s="222">
        <v>86077.591969999994</v>
      </c>
      <c r="P15" s="222">
        <v>623537.91157999996</v>
      </c>
      <c r="Q15" s="222">
        <v>96.551591200109698</v>
      </c>
      <c r="R15" s="222">
        <v>92.775646205321209</v>
      </c>
      <c r="S15" s="222">
        <v>96.748822732651021</v>
      </c>
      <c r="T15" s="222">
        <v>97.310893161203637</v>
      </c>
      <c r="U15" s="152">
        <v>96.671740185078448</v>
      </c>
      <c r="V15" s="222">
        <v>755443.76590999996</v>
      </c>
      <c r="W15" s="222">
        <v>34660.520060000003</v>
      </c>
      <c r="X15" s="222">
        <v>720783.24584999995</v>
      </c>
      <c r="Y15" s="222">
        <v>97245.334270000007</v>
      </c>
      <c r="Z15" s="222">
        <v>623537.91157999996</v>
      </c>
      <c r="AA15" s="222">
        <v>95.938891326824802</v>
      </c>
      <c r="AB15" s="222">
        <v>85.98476896396275</v>
      </c>
      <c r="AC15" s="222">
        <v>96.475961399914326</v>
      </c>
      <c r="AD15" s="281">
        <v>95.239228112058697</v>
      </c>
      <c r="AE15" s="223">
        <v>96.671740185078448</v>
      </c>
    </row>
    <row r="16" spans="1:31" x14ac:dyDescent="0.25">
      <c r="A16" s="221" t="s">
        <v>158</v>
      </c>
      <c r="B16" s="222">
        <v>1238.35302</v>
      </c>
      <c r="C16" s="222">
        <v>1172.0231699999999</v>
      </c>
      <c r="D16" s="222">
        <v>66.329849999999993</v>
      </c>
      <c r="E16" s="222">
        <v>0</v>
      </c>
      <c r="F16" s="222">
        <v>66.329849999999993</v>
      </c>
      <c r="G16" s="222">
        <v>421.83392000000003</v>
      </c>
      <c r="H16" s="222">
        <v>483.43133999999998</v>
      </c>
      <c r="I16" s="222">
        <v>-61.59742</v>
      </c>
      <c r="J16" s="222">
        <v>0</v>
      </c>
      <c r="K16" s="222">
        <v>-61.59742</v>
      </c>
      <c r="L16" s="222">
        <v>602842.13755999994</v>
      </c>
      <c r="M16" s="222">
        <v>33739.769809999998</v>
      </c>
      <c r="N16" s="222">
        <v>569102.36774999998</v>
      </c>
      <c r="O16" s="222">
        <v>67992.551930000001</v>
      </c>
      <c r="P16" s="222">
        <v>501109.81582000002</v>
      </c>
      <c r="Q16" s="222">
        <v>96.39928312413349</v>
      </c>
      <c r="R16" s="222">
        <v>87.146877889534224</v>
      </c>
      <c r="S16" s="222">
        <v>97.009902532221773</v>
      </c>
      <c r="T16" s="222">
        <v>93.783508011986527</v>
      </c>
      <c r="U16" s="222">
        <v>97.464856521269624</v>
      </c>
      <c r="V16" s="222">
        <v>602391.96473999997</v>
      </c>
      <c r="W16" s="222">
        <v>33271.387020000002</v>
      </c>
      <c r="X16" s="222">
        <v>569120.57771999994</v>
      </c>
      <c r="Y16" s="222">
        <v>67992.551930000001</v>
      </c>
      <c r="Z16" s="222">
        <v>501128.02578999999</v>
      </c>
      <c r="AA16" s="222">
        <v>96.201689662594376</v>
      </c>
      <c r="AB16" s="222">
        <v>84.435360912663342</v>
      </c>
      <c r="AC16" s="222">
        <v>96.991855959041757</v>
      </c>
      <c r="AD16" s="281">
        <v>93.783508011986527</v>
      </c>
      <c r="AE16" s="223">
        <v>97.444152661611184</v>
      </c>
    </row>
    <row r="17" spans="1:31" x14ac:dyDescent="0.25">
      <c r="A17" s="221" t="s">
        <v>159</v>
      </c>
      <c r="B17" s="222">
        <v>3054.6107400000001</v>
      </c>
      <c r="C17" s="222">
        <v>3054.6107400000001</v>
      </c>
      <c r="D17" s="222">
        <v>0</v>
      </c>
      <c r="E17" s="222">
        <v>0</v>
      </c>
      <c r="F17" s="222">
        <v>0</v>
      </c>
      <c r="G17" s="222">
        <v>252.82277000000022</v>
      </c>
      <c r="H17" s="222">
        <v>252.82277000000022</v>
      </c>
      <c r="I17" s="222">
        <v>0</v>
      </c>
      <c r="J17" s="222">
        <v>0</v>
      </c>
      <c r="K17" s="222">
        <v>0</v>
      </c>
      <c r="L17" s="222">
        <v>602520.00029</v>
      </c>
      <c r="M17" s="222">
        <v>30406.58324</v>
      </c>
      <c r="N17" s="222">
        <v>572113.41705000005</v>
      </c>
      <c r="O17" s="222">
        <v>91334.306150000004</v>
      </c>
      <c r="P17" s="222">
        <v>480779.11090000003</v>
      </c>
      <c r="Q17" s="222">
        <v>97.584595944143686</v>
      </c>
      <c r="R17" s="222">
        <v>96.796050552405617</v>
      </c>
      <c r="S17" s="222">
        <v>97.626865130989302</v>
      </c>
      <c r="T17" s="222">
        <v>95.016613007779853</v>
      </c>
      <c r="U17" s="222">
        <v>98.139033831281992</v>
      </c>
      <c r="V17" s="222">
        <v>602335.17752000003</v>
      </c>
      <c r="W17" s="222">
        <v>30221.760470000001</v>
      </c>
      <c r="X17" s="222">
        <v>572113.41705000005</v>
      </c>
      <c r="Y17" s="222">
        <v>91334.306150000004</v>
      </c>
      <c r="Z17" s="222">
        <v>480779.11090000003</v>
      </c>
      <c r="AA17" s="222">
        <v>97.113978385227853</v>
      </c>
      <c r="AB17" s="222">
        <v>88.329420906473004</v>
      </c>
      <c r="AC17" s="222">
        <v>97.626865130989302</v>
      </c>
      <c r="AD17" s="281">
        <v>95.016613007779853</v>
      </c>
      <c r="AE17" s="223">
        <v>98.139033831281992</v>
      </c>
    </row>
    <row r="18" spans="1:31" x14ac:dyDescent="0.25">
      <c r="A18" s="221" t="s">
        <v>160</v>
      </c>
      <c r="B18" s="222">
        <v>5106.4539599999998</v>
      </c>
      <c r="C18" s="222">
        <v>1141.5846100000001</v>
      </c>
      <c r="D18" s="222">
        <v>3964.8693499999999</v>
      </c>
      <c r="E18" s="222">
        <v>0</v>
      </c>
      <c r="F18" s="222">
        <v>3964.8693499999999</v>
      </c>
      <c r="G18" s="222">
        <v>3855.1853599999995</v>
      </c>
      <c r="H18" s="222">
        <v>-40.123949999999923</v>
      </c>
      <c r="I18" s="222">
        <v>3895.3093100000001</v>
      </c>
      <c r="J18" s="222">
        <v>-2.112E-2</v>
      </c>
      <c r="K18" s="222">
        <v>3895.33043</v>
      </c>
      <c r="L18" s="222">
        <v>622260.11045000004</v>
      </c>
      <c r="M18" s="222">
        <v>25591.8832</v>
      </c>
      <c r="N18" s="222">
        <v>596668.22725</v>
      </c>
      <c r="O18" s="222">
        <v>68751.513179999994</v>
      </c>
      <c r="P18" s="222">
        <v>527916.71406999999</v>
      </c>
      <c r="Q18" s="222">
        <v>98.988658608994996</v>
      </c>
      <c r="R18" s="222">
        <v>90.290993616907429</v>
      </c>
      <c r="S18" s="222">
        <v>99.399345747560957</v>
      </c>
      <c r="T18" s="222">
        <v>95.016977015856426</v>
      </c>
      <c r="U18" s="222">
        <v>100.00000000000001</v>
      </c>
      <c r="V18" s="222">
        <v>618404.90396999998</v>
      </c>
      <c r="W18" s="222">
        <v>25632.007150000001</v>
      </c>
      <c r="X18" s="222">
        <v>592772.89682000002</v>
      </c>
      <c r="Y18" s="222">
        <v>68751.513179999994</v>
      </c>
      <c r="Z18" s="222">
        <v>524021.38364000001</v>
      </c>
      <c r="AA18" s="222">
        <v>98.179982392154528</v>
      </c>
      <c r="AB18" s="222">
        <v>86.813143122127428</v>
      </c>
      <c r="AC18" s="222">
        <v>98.73901521451765</v>
      </c>
      <c r="AD18" s="281">
        <v>95.016949281764923</v>
      </c>
      <c r="AE18" s="223">
        <v>99.249100517850238</v>
      </c>
    </row>
    <row r="19" spans="1:31" x14ac:dyDescent="0.25">
      <c r="A19" s="221" t="s">
        <v>161</v>
      </c>
      <c r="B19" s="222">
        <v>512.82227999999998</v>
      </c>
      <c r="C19" s="222">
        <v>110.27815</v>
      </c>
      <c r="D19" s="222">
        <v>402.54413</v>
      </c>
      <c r="E19" s="222">
        <v>0</v>
      </c>
      <c r="F19" s="222">
        <v>402.54413</v>
      </c>
      <c r="G19" s="222">
        <v>-1041.3539999999998</v>
      </c>
      <c r="H19" s="222">
        <v>17.738079999999997</v>
      </c>
      <c r="I19" s="222">
        <v>-1059.0920799999999</v>
      </c>
      <c r="J19" s="222">
        <v>0</v>
      </c>
      <c r="K19" s="222">
        <v>-1059.0920799999999</v>
      </c>
      <c r="L19" s="222">
        <v>381670.04498000001</v>
      </c>
      <c r="M19" s="222">
        <v>9271.8364099999999</v>
      </c>
      <c r="N19" s="222">
        <v>372398.20857000002</v>
      </c>
      <c r="O19" s="222">
        <v>50271.913039999999</v>
      </c>
      <c r="P19" s="222">
        <v>322126.29553</v>
      </c>
      <c r="Q19" s="222">
        <v>98.514232796807022</v>
      </c>
      <c r="R19" s="222">
        <v>95.29829791852346</v>
      </c>
      <c r="S19" s="222">
        <v>98.597073600626572</v>
      </c>
      <c r="T19" s="222">
        <v>93.982754291792759</v>
      </c>
      <c r="U19" s="222">
        <v>99.358386591139322</v>
      </c>
      <c r="V19" s="222">
        <v>382711.39898</v>
      </c>
      <c r="W19" s="222">
        <v>9254.0983300000007</v>
      </c>
      <c r="X19" s="222">
        <v>373457.30064999999</v>
      </c>
      <c r="Y19" s="222">
        <v>50271.913039999999</v>
      </c>
      <c r="Z19" s="222">
        <v>323185.38760999998</v>
      </c>
      <c r="AA19" s="222">
        <v>98.388331660086152</v>
      </c>
      <c r="AB19" s="222">
        <v>94.219809292641017</v>
      </c>
      <c r="AC19" s="222">
        <v>98.496314078531611</v>
      </c>
      <c r="AD19" s="281">
        <v>93.982754291792759</v>
      </c>
      <c r="AE19" s="223">
        <v>99.237660583381825</v>
      </c>
    </row>
    <row r="20" spans="1:31" x14ac:dyDescent="0.25">
      <c r="A20" s="221" t="s">
        <v>162</v>
      </c>
      <c r="B20" s="222">
        <v>3401.5084699999998</v>
      </c>
      <c r="C20" s="222">
        <v>2814.8808399999998</v>
      </c>
      <c r="D20" s="222">
        <v>586.62763000000007</v>
      </c>
      <c r="E20" s="222">
        <v>515.79262000000006</v>
      </c>
      <c r="F20" s="222">
        <v>70.835009999999997</v>
      </c>
      <c r="G20" s="222">
        <v>2838.1820199999997</v>
      </c>
      <c r="H20" s="222">
        <v>2289.9588100000001</v>
      </c>
      <c r="I20" s="222">
        <v>548.22321000000011</v>
      </c>
      <c r="J20" s="222">
        <v>515.79262000000006</v>
      </c>
      <c r="K20" s="222">
        <v>32.430589999999995</v>
      </c>
      <c r="L20" s="222">
        <v>497822.02095999999</v>
      </c>
      <c r="M20" s="222">
        <v>19073.416969999998</v>
      </c>
      <c r="N20" s="222">
        <v>478748.60398999997</v>
      </c>
      <c r="O20" s="222">
        <v>70382.103310000006</v>
      </c>
      <c r="P20" s="222">
        <v>408366.50068</v>
      </c>
      <c r="Q20" s="222">
        <v>97.814908673395365</v>
      </c>
      <c r="R20" s="222">
        <v>95.950682278573737</v>
      </c>
      <c r="S20" s="222">
        <v>97.890681400763924</v>
      </c>
      <c r="T20" s="222">
        <v>89.129815871305553</v>
      </c>
      <c r="U20" s="222">
        <v>99.577614484589347</v>
      </c>
      <c r="V20" s="222">
        <v>494945.43452000001</v>
      </c>
      <c r="W20" s="222">
        <v>16783.458159999998</v>
      </c>
      <c r="X20" s="222">
        <v>478161.97636000003</v>
      </c>
      <c r="Y20" s="222">
        <v>69866.310689999998</v>
      </c>
      <c r="Z20" s="222">
        <v>408295.66567000002</v>
      </c>
      <c r="AA20" s="222">
        <v>97.137411922888404</v>
      </c>
      <c r="AB20" s="222">
        <v>82.25864097160698</v>
      </c>
      <c r="AC20" s="222">
        <v>97.758058706587249</v>
      </c>
      <c r="AD20" s="281">
        <v>88.448629156198436</v>
      </c>
      <c r="AE20" s="223">
        <v>99.551019179116821</v>
      </c>
    </row>
    <row r="21" spans="1:31" x14ac:dyDescent="0.25">
      <c r="A21" s="221" t="s">
        <v>163</v>
      </c>
      <c r="B21" s="222">
        <v>46619.385579999995</v>
      </c>
      <c r="C21" s="222">
        <v>1847.44379</v>
      </c>
      <c r="D21" s="222">
        <v>44771.941789999997</v>
      </c>
      <c r="E21" s="222">
        <v>44092.753149999997</v>
      </c>
      <c r="F21" s="222">
        <v>679.18863999999996</v>
      </c>
      <c r="G21" s="222">
        <v>43734.677799999998</v>
      </c>
      <c r="H21" s="222">
        <v>-345.28444000000013</v>
      </c>
      <c r="I21" s="222">
        <v>44079.962239999993</v>
      </c>
      <c r="J21" s="222">
        <v>43400.7736</v>
      </c>
      <c r="K21" s="222">
        <v>679.18863999999996</v>
      </c>
      <c r="L21" s="222">
        <v>899473.43501999998</v>
      </c>
      <c r="M21" s="222">
        <v>42510.166969999998</v>
      </c>
      <c r="N21" s="222">
        <v>856963.26804999996</v>
      </c>
      <c r="O21" s="222">
        <v>206771.95736</v>
      </c>
      <c r="P21" s="222">
        <v>650191.31068999995</v>
      </c>
      <c r="Q21" s="222">
        <v>98.225828061417218</v>
      </c>
      <c r="R21" s="222">
        <v>95.828313249953212</v>
      </c>
      <c r="S21" s="222">
        <v>98.347885171785137</v>
      </c>
      <c r="T21" s="222">
        <v>96.921446062193013</v>
      </c>
      <c r="U21" s="222">
        <v>98.810358087105683</v>
      </c>
      <c r="V21" s="222">
        <v>855738.75722000003</v>
      </c>
      <c r="W21" s="222">
        <v>42855.451410000001</v>
      </c>
      <c r="X21" s="222">
        <v>812883.30581000005</v>
      </c>
      <c r="Y21" s="222">
        <v>163371.18376000001</v>
      </c>
      <c r="Z21" s="222">
        <v>649512.12205000001</v>
      </c>
      <c r="AA21" s="222">
        <v>93.17986023646111</v>
      </c>
      <c r="AB21" s="222">
        <v>92.096246705192357</v>
      </c>
      <c r="AC21" s="222">
        <v>93.237696721892064</v>
      </c>
      <c r="AD21" s="429">
        <v>76.330362152118099</v>
      </c>
      <c r="AE21" s="223">
        <v>98.738854530998552</v>
      </c>
    </row>
    <row r="22" spans="1:31" x14ac:dyDescent="0.25">
      <c r="A22" s="221" t="s">
        <v>164</v>
      </c>
      <c r="B22" s="222">
        <v>44376.356790000005</v>
      </c>
      <c r="C22" s="222">
        <v>2172.3849799999998</v>
      </c>
      <c r="D22" s="222">
        <v>42203.971810000003</v>
      </c>
      <c r="E22" s="222">
        <v>17758.89718</v>
      </c>
      <c r="F22" s="222">
        <v>24445.074629999999</v>
      </c>
      <c r="G22" s="222">
        <v>14275.280350000005</v>
      </c>
      <c r="H22" s="222">
        <v>1858.0600599999998</v>
      </c>
      <c r="I22" s="222">
        <v>12417.220290000001</v>
      </c>
      <c r="J22" s="222">
        <v>9163.0198799999998</v>
      </c>
      <c r="K22" s="222">
        <v>3254.2004099999976</v>
      </c>
      <c r="L22" s="222">
        <v>833839.67958999996</v>
      </c>
      <c r="M22" s="222">
        <v>37745.123910000002</v>
      </c>
      <c r="N22" s="222">
        <v>796094.55567999999</v>
      </c>
      <c r="O22" s="222">
        <v>114416.33649</v>
      </c>
      <c r="P22" s="222">
        <v>681678.21918999997</v>
      </c>
      <c r="Q22" s="222">
        <v>99.580509571388419</v>
      </c>
      <c r="R22" s="222">
        <v>99.521117240870836</v>
      </c>
      <c r="S22" s="222">
        <v>99.583327292193289</v>
      </c>
      <c r="T22" s="222">
        <v>97.171071128171974</v>
      </c>
      <c r="U22" s="222">
        <v>100</v>
      </c>
      <c r="V22" s="222">
        <v>818687.74687000003</v>
      </c>
      <c r="W22" s="222">
        <v>35887.063849999999</v>
      </c>
      <c r="X22" s="222">
        <v>782800.68302</v>
      </c>
      <c r="Y22" s="222">
        <v>104376.66424</v>
      </c>
      <c r="Z22" s="222">
        <v>678424.01878000004</v>
      </c>
      <c r="AA22" s="222">
        <v>94.427175186094999</v>
      </c>
      <c r="AB22" s="222">
        <v>93.844289855995868</v>
      </c>
      <c r="AC22" s="222">
        <v>94.454070875744591</v>
      </c>
      <c r="AD22" s="281">
        <v>82.908228924334338</v>
      </c>
      <c r="AE22" s="223">
        <v>96.522101361520441</v>
      </c>
    </row>
    <row r="23" spans="1:31" x14ac:dyDescent="0.25">
      <c r="A23" s="221" t="s">
        <v>165</v>
      </c>
      <c r="B23" s="222">
        <v>24668.438029999998</v>
      </c>
      <c r="C23" s="222">
        <v>1518.44831</v>
      </c>
      <c r="D23" s="222">
        <v>23149.989719999998</v>
      </c>
      <c r="E23" s="222">
        <v>8507.1760099999992</v>
      </c>
      <c r="F23" s="222">
        <v>14642.81371</v>
      </c>
      <c r="G23" s="222">
        <v>3650.7430399999976</v>
      </c>
      <c r="H23" s="222">
        <v>-181.94413000000009</v>
      </c>
      <c r="I23" s="222">
        <v>3832.6871699999974</v>
      </c>
      <c r="J23" s="222">
        <v>-8312.9407900000006</v>
      </c>
      <c r="K23" s="222">
        <v>12145.62796</v>
      </c>
      <c r="L23" s="222">
        <v>1120813.1802000001</v>
      </c>
      <c r="M23" s="222">
        <v>37332.304649999998</v>
      </c>
      <c r="N23" s="222">
        <v>1083480.87555</v>
      </c>
      <c r="O23" s="222">
        <v>151141.31948999999</v>
      </c>
      <c r="P23" s="222">
        <v>932339.55605999997</v>
      </c>
      <c r="Q23" s="222">
        <v>99.682272139734621</v>
      </c>
      <c r="R23" s="222">
        <v>96.209113979670207</v>
      </c>
      <c r="S23" s="222">
        <v>99.806417462976896</v>
      </c>
      <c r="T23" s="222">
        <v>98.667280093953096</v>
      </c>
      <c r="U23" s="222">
        <v>99.993564990501113</v>
      </c>
      <c r="V23" s="222">
        <v>1117162.43716</v>
      </c>
      <c r="W23" s="222">
        <v>37514.248780000002</v>
      </c>
      <c r="X23" s="222">
        <v>1079648.1883799999</v>
      </c>
      <c r="Y23" s="222">
        <v>159454.26027999999</v>
      </c>
      <c r="Z23" s="222">
        <v>920193.92810000002</v>
      </c>
      <c r="AA23" s="222">
        <v>97.54424929680593</v>
      </c>
      <c r="AB23" s="222">
        <v>92.884237019447667</v>
      </c>
      <c r="AC23" s="222">
        <v>97.714590005907468</v>
      </c>
      <c r="AD23" s="281">
        <v>93.795004797852187</v>
      </c>
      <c r="AE23" s="223">
        <v>98.427332875122147</v>
      </c>
    </row>
    <row r="24" spans="1:31" x14ac:dyDescent="0.25">
      <c r="A24" s="221" t="s">
        <v>166</v>
      </c>
      <c r="B24" s="222">
        <v>68357.769360000006</v>
      </c>
      <c r="C24" s="222">
        <v>5229.7756900000004</v>
      </c>
      <c r="D24" s="222">
        <v>63127.993670000003</v>
      </c>
      <c r="E24" s="222">
        <v>5766.4997899999998</v>
      </c>
      <c r="F24" s="222">
        <v>57361.493880000002</v>
      </c>
      <c r="G24" s="222">
        <v>12056.439600000005</v>
      </c>
      <c r="H24" s="222">
        <v>-2519.8404599999994</v>
      </c>
      <c r="I24" s="222">
        <v>14576.280060000005</v>
      </c>
      <c r="J24" s="222">
        <v>5766.4997899999998</v>
      </c>
      <c r="K24" s="222">
        <v>8809.7802700000029</v>
      </c>
      <c r="L24" s="222">
        <v>1003049.3881799999</v>
      </c>
      <c r="M24" s="222">
        <v>46547.376020000003</v>
      </c>
      <c r="N24" s="222">
        <v>956502.01215999993</v>
      </c>
      <c r="O24" s="222">
        <v>124338.0983</v>
      </c>
      <c r="P24" s="222">
        <v>832163.91385999997</v>
      </c>
      <c r="Q24" s="222">
        <v>99.908293060576213</v>
      </c>
      <c r="R24" s="222">
        <v>98.060359449161353</v>
      </c>
      <c r="S24" s="152">
        <v>100</v>
      </c>
      <c r="T24" s="152">
        <v>100</v>
      </c>
      <c r="U24" s="222">
        <v>100</v>
      </c>
      <c r="V24" s="222">
        <v>990549.74858000013</v>
      </c>
      <c r="W24" s="222">
        <v>49625.183729999997</v>
      </c>
      <c r="X24" s="222">
        <v>940924.56485000008</v>
      </c>
      <c r="Y24" s="222">
        <v>118571.59851</v>
      </c>
      <c r="Z24" s="222">
        <v>822352.96634000004</v>
      </c>
      <c r="AA24" s="222">
        <v>93.463235101001672</v>
      </c>
      <c r="AB24" s="222">
        <v>89.871873611361309</v>
      </c>
      <c r="AC24" s="222">
        <v>93.66063172877999</v>
      </c>
      <c r="AD24" s="281">
        <v>95.362242250089167</v>
      </c>
      <c r="AE24" s="407">
        <v>93.420279981225036</v>
      </c>
    </row>
    <row r="25" spans="1:31" x14ac:dyDescent="0.25">
      <c r="A25" s="221" t="s">
        <v>167</v>
      </c>
      <c r="B25" s="222">
        <v>13517.02202</v>
      </c>
      <c r="C25" s="222">
        <v>2940.6273299999998</v>
      </c>
      <c r="D25" s="222">
        <v>10576.394690000001</v>
      </c>
      <c r="E25" s="222">
        <v>4937.4341199999999</v>
      </c>
      <c r="F25" s="222">
        <v>5638.9605700000002</v>
      </c>
      <c r="G25" s="222">
        <v>-4850.9015500000023</v>
      </c>
      <c r="H25" s="222">
        <v>-1320.4731500000003</v>
      </c>
      <c r="I25" s="222">
        <v>-3530.4284000000007</v>
      </c>
      <c r="J25" s="222">
        <v>-7886.5384200000008</v>
      </c>
      <c r="K25" s="222">
        <v>4386.6484399999999</v>
      </c>
      <c r="L25" s="222">
        <v>946227.07227</v>
      </c>
      <c r="M25" s="222">
        <v>33556.191899999998</v>
      </c>
      <c r="N25" s="222">
        <v>912670.88037000003</v>
      </c>
      <c r="O25" s="222">
        <v>129956.35803</v>
      </c>
      <c r="P25" s="222">
        <v>782714.52234000002</v>
      </c>
      <c r="Q25" s="222">
        <v>99.732830153804542</v>
      </c>
      <c r="R25" s="222">
        <v>99.70873292276157</v>
      </c>
      <c r="S25" s="222">
        <v>99.733716359265415</v>
      </c>
      <c r="T25" s="222">
        <v>98.262399033976081</v>
      </c>
      <c r="U25" s="222">
        <v>99.982279174298753</v>
      </c>
      <c r="V25" s="222">
        <v>950892.3518399999</v>
      </c>
      <c r="W25" s="222">
        <v>34876.665050000003</v>
      </c>
      <c r="X25" s="222">
        <v>916015.68678999995</v>
      </c>
      <c r="Y25" s="222">
        <v>137687.81289</v>
      </c>
      <c r="Z25" s="222">
        <v>778327.87390000001</v>
      </c>
      <c r="AA25" s="222">
        <v>98.339942676097976</v>
      </c>
      <c r="AB25" s="222">
        <v>91.985689958127466</v>
      </c>
      <c r="AC25" s="222">
        <v>98.599271002059638</v>
      </c>
      <c r="AD25" s="281">
        <v>95.007367336673965</v>
      </c>
      <c r="AE25" s="223">
        <v>99.263149133726628</v>
      </c>
    </row>
    <row r="26" spans="1:31" x14ac:dyDescent="0.25">
      <c r="A26" s="221" t="s">
        <v>168</v>
      </c>
      <c r="B26" s="222">
        <v>5504.3007299999999</v>
      </c>
      <c r="C26" s="222">
        <v>1641.5521900000001</v>
      </c>
      <c r="D26" s="222">
        <v>3862.74854</v>
      </c>
      <c r="E26" s="222">
        <v>1975.24854</v>
      </c>
      <c r="F26" s="222">
        <v>0</v>
      </c>
      <c r="G26" s="222">
        <v>-24618.603050000002</v>
      </c>
      <c r="H26" s="222">
        <v>-270.1881699999999</v>
      </c>
      <c r="I26" s="222">
        <v>-24348.41488</v>
      </c>
      <c r="J26" s="222">
        <v>-25260.91488</v>
      </c>
      <c r="K26" s="222">
        <v>0</v>
      </c>
      <c r="L26" s="222">
        <v>1195956.8646799999</v>
      </c>
      <c r="M26" s="222">
        <v>55190.973299999998</v>
      </c>
      <c r="N26" s="222">
        <v>1140765.8913799999</v>
      </c>
      <c r="O26" s="222">
        <v>138479.21384000001</v>
      </c>
      <c r="P26" s="222">
        <v>999484.17753999995</v>
      </c>
      <c r="Q26" s="152">
        <v>99.999813789617434</v>
      </c>
      <c r="R26" s="152">
        <v>99.995965082677031</v>
      </c>
      <c r="S26" s="152">
        <v>100</v>
      </c>
      <c r="T26" s="152">
        <v>100</v>
      </c>
      <c r="U26" s="222">
        <v>99.999999999999986</v>
      </c>
      <c r="V26" s="222">
        <v>1220494.9099099999</v>
      </c>
      <c r="W26" s="222">
        <v>55380.603649999997</v>
      </c>
      <c r="X26" s="222">
        <v>1165114.30626</v>
      </c>
      <c r="Y26" s="222">
        <v>163740.12872000001</v>
      </c>
      <c r="Z26" s="222">
        <v>999484.17753999995</v>
      </c>
      <c r="AA26" s="222">
        <v>99.550854708571947</v>
      </c>
      <c r="AB26" s="222">
        <v>97.117409942669354</v>
      </c>
      <c r="AC26" s="222">
        <v>99.669561645873287</v>
      </c>
      <c r="AD26" s="281">
        <v>98.808047525426119</v>
      </c>
      <c r="AE26" s="407">
        <v>99.999999999999986</v>
      </c>
    </row>
    <row r="27" spans="1:31" x14ac:dyDescent="0.25">
      <c r="A27" s="221" t="s">
        <v>169</v>
      </c>
      <c r="B27" s="222">
        <v>5829.9759599999998</v>
      </c>
      <c r="C27" s="222">
        <v>5091.6274299999995</v>
      </c>
      <c r="D27" s="222">
        <v>738.34852999999998</v>
      </c>
      <c r="E27" s="222">
        <v>738.34852999999998</v>
      </c>
      <c r="F27" s="222">
        <v>0</v>
      </c>
      <c r="G27" s="222">
        <v>-8357.1262700000007</v>
      </c>
      <c r="H27" s="222">
        <v>-624.67480000000069</v>
      </c>
      <c r="I27" s="222">
        <v>-7732.4514699999991</v>
      </c>
      <c r="J27" s="222">
        <v>-7732.4514699999991</v>
      </c>
      <c r="K27" s="222">
        <v>0</v>
      </c>
      <c r="L27" s="222">
        <v>775627.93689000013</v>
      </c>
      <c r="M27" s="222">
        <v>25270.56133</v>
      </c>
      <c r="N27" s="222">
        <v>750357.37556000007</v>
      </c>
      <c r="O27" s="222">
        <v>89143.171560000003</v>
      </c>
      <c r="P27" s="222">
        <v>661214.20400000003</v>
      </c>
      <c r="Q27" s="222">
        <v>99.50366629352979</v>
      </c>
      <c r="R27" s="222">
        <v>93.928987227148369</v>
      </c>
      <c r="S27" s="222">
        <v>99.702951462129619</v>
      </c>
      <c r="T27" s="222">
        <v>97.553515859793194</v>
      </c>
      <c r="U27" s="222">
        <v>100</v>
      </c>
      <c r="V27" s="222">
        <v>783460.28576</v>
      </c>
      <c r="W27" s="222">
        <v>25895.236130000001</v>
      </c>
      <c r="X27" s="222">
        <v>757565.04963000002</v>
      </c>
      <c r="Y27" s="222">
        <v>96350.845629999996</v>
      </c>
      <c r="Z27" s="222">
        <v>661214.20400000003</v>
      </c>
      <c r="AA27" s="222">
        <v>98.77718345447127</v>
      </c>
      <c r="AB27" s="222">
        <v>79.38404395818165</v>
      </c>
      <c r="AC27" s="222">
        <v>99.608972715553861</v>
      </c>
      <c r="AD27" s="281">
        <v>97.005867574883879</v>
      </c>
      <c r="AE27" s="407">
        <v>100</v>
      </c>
    </row>
    <row r="28" spans="1:31" x14ac:dyDescent="0.25">
      <c r="A28" s="221" t="s">
        <v>170</v>
      </c>
      <c r="B28" s="222">
        <v>22288.055690000001</v>
      </c>
      <c r="C28" s="222">
        <v>118.06504</v>
      </c>
      <c r="D28" s="222">
        <v>22169.99065</v>
      </c>
      <c r="E28" s="222">
        <v>4205.1142399999999</v>
      </c>
      <c r="F28" s="222">
        <v>17964.876410000001</v>
      </c>
      <c r="G28" s="222">
        <v>12937.091710000001</v>
      </c>
      <c r="H28" s="222">
        <v>-130.29167999999999</v>
      </c>
      <c r="I28" s="222">
        <v>13067.383389999999</v>
      </c>
      <c r="J28" s="222">
        <v>1086.0266499999998</v>
      </c>
      <c r="K28" s="222">
        <v>11981.356740000001</v>
      </c>
      <c r="L28" s="222">
        <v>424380.91850000003</v>
      </c>
      <c r="M28" s="222">
        <v>12501.19614</v>
      </c>
      <c r="N28" s="222">
        <v>411879.72236000001</v>
      </c>
      <c r="O28" s="222">
        <v>52605.422359999997</v>
      </c>
      <c r="P28" s="222">
        <v>359274.3</v>
      </c>
      <c r="Q28" s="222">
        <v>99.147152691556769</v>
      </c>
      <c r="R28" s="222">
        <v>95.891650329999592</v>
      </c>
      <c r="S28" s="222">
        <v>99.24942224670049</v>
      </c>
      <c r="T28" s="222">
        <v>94.409832423067343</v>
      </c>
      <c r="U28" s="222">
        <v>100</v>
      </c>
      <c r="V28" s="222">
        <v>411443.82678999996</v>
      </c>
      <c r="W28" s="222">
        <v>12631.48782</v>
      </c>
      <c r="X28" s="222">
        <v>398812.33896999998</v>
      </c>
      <c r="Y28" s="222">
        <v>51519.395709999997</v>
      </c>
      <c r="Z28" s="222">
        <v>347292.94325999997</v>
      </c>
      <c r="AA28" s="222">
        <v>94.069602824755606</v>
      </c>
      <c r="AB28" s="222">
        <v>95.079753751909294</v>
      </c>
      <c r="AC28" s="222">
        <v>94.037959119202569</v>
      </c>
      <c r="AD28" s="281">
        <v>87.559398391447061</v>
      </c>
      <c r="AE28" s="223">
        <v>95.081590196691536</v>
      </c>
    </row>
    <row r="29" spans="1:31" x14ac:dyDescent="0.25">
      <c r="A29" s="221" t="s">
        <v>171</v>
      </c>
      <c r="B29" s="222">
        <v>291022.6863</v>
      </c>
      <c r="C29" s="222">
        <v>43683.780850000003</v>
      </c>
      <c r="D29" s="222">
        <v>247338.90545000002</v>
      </c>
      <c r="E29" s="222">
        <v>102894.5432</v>
      </c>
      <c r="F29" s="222">
        <v>144444.36225000001</v>
      </c>
      <c r="G29" s="222">
        <v>44630.67723999999</v>
      </c>
      <c r="H29" s="222">
        <v>-18523.712369999994</v>
      </c>
      <c r="I29" s="222">
        <v>63154.389610000013</v>
      </c>
      <c r="J29" s="222">
        <v>19341.635330000005</v>
      </c>
      <c r="K29" s="222">
        <v>43812.754280000008</v>
      </c>
      <c r="L29" s="222">
        <v>6848606.0123299994</v>
      </c>
      <c r="M29" s="222">
        <v>465149.65382000001</v>
      </c>
      <c r="N29" s="222">
        <v>6383456.3585099997</v>
      </c>
      <c r="O29" s="222">
        <v>667977.56073999999</v>
      </c>
      <c r="P29" s="222">
        <v>5715478.7977700001</v>
      </c>
      <c r="Q29" s="222">
        <v>97.65351594756811</v>
      </c>
      <c r="R29" s="222">
        <v>76.647862625311319</v>
      </c>
      <c r="S29" s="222">
        <v>99.643370638808065</v>
      </c>
      <c r="T29" s="222">
        <v>96.692826632733627</v>
      </c>
      <c r="U29" s="222">
        <v>100</v>
      </c>
      <c r="V29" s="222">
        <v>6797882.5184500003</v>
      </c>
      <c r="W29" s="222">
        <v>488568.73408999998</v>
      </c>
      <c r="X29" s="222">
        <v>6309313.7843599999</v>
      </c>
      <c r="Y29" s="222">
        <v>637570.08316000004</v>
      </c>
      <c r="Z29" s="222">
        <v>5671743.7012</v>
      </c>
      <c r="AA29" s="222">
        <v>93.690640611355974</v>
      </c>
      <c r="AB29" s="222">
        <v>73.04334400689558</v>
      </c>
      <c r="AC29" s="222">
        <v>95.787330314106157</v>
      </c>
      <c r="AD29" s="281">
        <v>83.026280273917962</v>
      </c>
      <c r="AE29" s="223">
        <v>97.471397273435272</v>
      </c>
    </row>
    <row r="30" spans="1:31" x14ac:dyDescent="0.25">
      <c r="A30" s="221" t="s">
        <v>172</v>
      </c>
      <c r="B30" s="222">
        <v>40604.010929999997</v>
      </c>
      <c r="C30" s="222">
        <v>39474.978029999998</v>
      </c>
      <c r="D30" s="222">
        <v>1129.0329000000002</v>
      </c>
      <c r="E30" s="222">
        <v>329.46415999999999</v>
      </c>
      <c r="F30" s="222">
        <v>799.56874000000005</v>
      </c>
      <c r="G30" s="222">
        <v>-29901.756809999999</v>
      </c>
      <c r="H30" s="222">
        <v>-1538.3906799999968</v>
      </c>
      <c r="I30" s="222">
        <v>-28363.366130000002</v>
      </c>
      <c r="J30" s="222">
        <v>-24090.205109999999</v>
      </c>
      <c r="K30" s="222">
        <v>-4273.1610200000005</v>
      </c>
      <c r="L30" s="222">
        <v>5319324.7658700002</v>
      </c>
      <c r="M30" s="222">
        <v>366733.08098999999</v>
      </c>
      <c r="N30" s="222">
        <v>4952591.6848800005</v>
      </c>
      <c r="O30" s="222">
        <v>601517.23852000001</v>
      </c>
      <c r="P30" s="222">
        <v>4351074.4463600004</v>
      </c>
      <c r="Q30" s="222">
        <v>99.829623983169128</v>
      </c>
      <c r="R30" s="222">
        <v>97.61307937155334</v>
      </c>
      <c r="S30" s="152">
        <v>99.997766027661314</v>
      </c>
      <c r="T30" s="152">
        <v>100</v>
      </c>
      <c r="U30" s="222">
        <v>99.997457198492981</v>
      </c>
      <c r="V30" s="222">
        <v>5361136.7265099995</v>
      </c>
      <c r="W30" s="222">
        <v>381868.60489999998</v>
      </c>
      <c r="X30" s="222">
        <v>4979268.1216099998</v>
      </c>
      <c r="Y30" s="222">
        <v>622868.84817999997</v>
      </c>
      <c r="Z30" s="222">
        <v>4356399.2734300001</v>
      </c>
      <c r="AA30" s="222">
        <v>99.412910728704375</v>
      </c>
      <c r="AB30" s="222">
        <v>92.596908162824533</v>
      </c>
      <c r="AC30" s="152">
        <v>99.977305693002236</v>
      </c>
      <c r="AD30" s="281">
        <v>99.947133335653163</v>
      </c>
      <c r="AE30" s="407">
        <v>99.981621162076536</v>
      </c>
    </row>
    <row r="31" spans="1:31" x14ac:dyDescent="0.25">
      <c r="A31" s="221" t="s">
        <v>173</v>
      </c>
      <c r="B31" s="222">
        <v>30720.188849999999</v>
      </c>
      <c r="C31" s="222">
        <v>16234.114960000001</v>
      </c>
      <c r="D31" s="222">
        <v>14486.07389</v>
      </c>
      <c r="E31" s="222">
        <v>303.87277999999998</v>
      </c>
      <c r="F31" s="222">
        <v>14182.20111</v>
      </c>
      <c r="G31" s="222">
        <v>8441.1956999999966</v>
      </c>
      <c r="H31" s="222">
        <v>261.7427000000007</v>
      </c>
      <c r="I31" s="222">
        <v>8179.4529999999995</v>
      </c>
      <c r="J31" s="222">
        <v>303.87277999999998</v>
      </c>
      <c r="K31" s="222">
        <v>7875.5802199999998</v>
      </c>
      <c r="L31" s="222">
        <v>2050296.5418999998</v>
      </c>
      <c r="M31" s="222">
        <v>193235.25268000001</v>
      </c>
      <c r="N31" s="222">
        <v>1857061.2892199999</v>
      </c>
      <c r="O31" s="222">
        <v>253557.37132000001</v>
      </c>
      <c r="P31" s="222">
        <v>1598891.39738</v>
      </c>
      <c r="Q31" s="222">
        <v>95.369458561443324</v>
      </c>
      <c r="R31" s="152">
        <v>70.30564272261492</v>
      </c>
      <c r="S31" s="222">
        <v>99.043491732503824</v>
      </c>
      <c r="T31" s="222">
        <v>93.889686126754228</v>
      </c>
      <c r="U31" s="222">
        <v>99.943964002633166</v>
      </c>
      <c r="V31" s="222">
        <v>2041649.55581</v>
      </c>
      <c r="W31" s="222">
        <v>192698.65705000001</v>
      </c>
      <c r="X31" s="222">
        <v>1848950.89876</v>
      </c>
      <c r="Y31" s="222">
        <v>253253.49864000001</v>
      </c>
      <c r="Z31" s="222">
        <v>1591084.8796000001</v>
      </c>
      <c r="AA31" s="222">
        <v>94.639506664982861</v>
      </c>
      <c r="AB31" s="152">
        <v>69.832361102590909</v>
      </c>
      <c r="AC31" s="222">
        <v>98.278070512679392</v>
      </c>
      <c r="AD31" s="281">
        <v>93.777165199442322</v>
      </c>
      <c r="AE31" s="223">
        <v>99.062748756284122</v>
      </c>
    </row>
    <row r="32" spans="1:31" x14ac:dyDescent="0.25">
      <c r="A32" s="221" t="s">
        <v>174</v>
      </c>
      <c r="B32" s="222">
        <v>27093.21975</v>
      </c>
      <c r="C32" s="222">
        <v>5877.3431300000002</v>
      </c>
      <c r="D32" s="222">
        <v>21215.876619999999</v>
      </c>
      <c r="E32" s="222">
        <v>5559.4876599999998</v>
      </c>
      <c r="F32" s="222">
        <v>15656.38896</v>
      </c>
      <c r="G32" s="222">
        <v>20825.97769</v>
      </c>
      <c r="H32" s="222">
        <v>1783.61303</v>
      </c>
      <c r="I32" s="222">
        <v>19042.364659999999</v>
      </c>
      <c r="J32" s="222">
        <v>5516.2499699999998</v>
      </c>
      <c r="K32" s="222">
        <v>13526.11469</v>
      </c>
      <c r="L32" s="222">
        <v>1097181.3336</v>
      </c>
      <c r="M32" s="222">
        <v>54163.730159999999</v>
      </c>
      <c r="N32" s="222">
        <v>1043017.60344</v>
      </c>
      <c r="O32" s="222">
        <v>209100.9019</v>
      </c>
      <c r="P32" s="222">
        <v>833916.70154000004</v>
      </c>
      <c r="Q32" s="222">
        <v>99.556567230606788</v>
      </c>
      <c r="R32" s="152">
        <v>100</v>
      </c>
      <c r="S32" s="222">
        <v>99.533647229731571</v>
      </c>
      <c r="T32" s="222">
        <v>97.716257160598147</v>
      </c>
      <c r="U32" s="222">
        <v>100</v>
      </c>
      <c r="V32" s="222">
        <v>1076367.94689</v>
      </c>
      <c r="W32" s="222">
        <v>52392.70811</v>
      </c>
      <c r="X32" s="222">
        <v>1023975.23878</v>
      </c>
      <c r="Y32" s="222">
        <v>203584.65192999999</v>
      </c>
      <c r="Z32" s="222">
        <v>820390.58684999996</v>
      </c>
      <c r="AA32" s="222">
        <v>97.114611228715404</v>
      </c>
      <c r="AB32" s="222">
        <v>89.91361255923276</v>
      </c>
      <c r="AC32" s="222">
        <v>97.51420301387536</v>
      </c>
      <c r="AD32" s="281">
        <v>95.119204225492723</v>
      </c>
      <c r="AE32" s="223">
        <v>98.127331428376806</v>
      </c>
    </row>
    <row r="33" spans="1:31" x14ac:dyDescent="0.25">
      <c r="A33" s="221" t="s">
        <v>175</v>
      </c>
      <c r="B33" s="222">
        <v>8331.8460799999993</v>
      </c>
      <c r="C33" s="222">
        <v>5009.5715899999996</v>
      </c>
      <c r="D33" s="222">
        <v>3322.2744900000002</v>
      </c>
      <c r="E33" s="222">
        <v>47.270249999999997</v>
      </c>
      <c r="F33" s="222">
        <v>3275.0042400000002</v>
      </c>
      <c r="G33" s="222">
        <v>2529.2008999999989</v>
      </c>
      <c r="H33" s="222">
        <v>-451.53947000000062</v>
      </c>
      <c r="I33" s="222">
        <v>2980.7403700000004</v>
      </c>
      <c r="J33" s="222">
        <v>38.402699999999996</v>
      </c>
      <c r="K33" s="222">
        <v>2942.3376700000003</v>
      </c>
      <c r="L33" s="222">
        <v>997903.77145000012</v>
      </c>
      <c r="M33" s="222">
        <v>116614.15485000001</v>
      </c>
      <c r="N33" s="222">
        <v>881289.61660000007</v>
      </c>
      <c r="O33" s="222">
        <v>57155.265749999999</v>
      </c>
      <c r="P33" s="222">
        <v>824134.35085000005</v>
      </c>
      <c r="Q33" s="222">
        <v>99.538414681968277</v>
      </c>
      <c r="R33" s="222">
        <v>98.123004630543022</v>
      </c>
      <c r="S33" s="222">
        <v>99.728769780992096</v>
      </c>
      <c r="T33" s="222">
        <v>96.221920484275316</v>
      </c>
      <c r="U33" s="222">
        <v>99.981478874875961</v>
      </c>
      <c r="V33" s="222">
        <v>995502.7659</v>
      </c>
      <c r="W33" s="222">
        <v>117169.80042</v>
      </c>
      <c r="X33" s="222">
        <v>878332.96548000001</v>
      </c>
      <c r="Y33" s="222">
        <v>57107.995499999997</v>
      </c>
      <c r="Z33" s="222">
        <v>821224.96998000005</v>
      </c>
      <c r="AA33" s="222">
        <v>98.724145956836082</v>
      </c>
      <c r="AB33" s="222">
        <v>94.251580414712691</v>
      </c>
      <c r="AC33" s="222">
        <v>99.353081182800139</v>
      </c>
      <c r="AD33" s="281">
        <v>96.142340166047646</v>
      </c>
      <c r="AE33" s="223">
        <v>99.584349664608723</v>
      </c>
    </row>
    <row r="34" spans="1:31" x14ac:dyDescent="0.25">
      <c r="A34" s="221" t="s">
        <v>176</v>
      </c>
      <c r="B34" s="222">
        <v>9295.2874799999991</v>
      </c>
      <c r="C34" s="222">
        <v>3195.1378500000001</v>
      </c>
      <c r="D34" s="222">
        <v>6100.1496299999999</v>
      </c>
      <c r="E34" s="222">
        <v>0</v>
      </c>
      <c r="F34" s="222">
        <v>6100.1496299999999</v>
      </c>
      <c r="G34" s="222">
        <v>3695.8024999999998</v>
      </c>
      <c r="H34" s="222">
        <v>926.91247000000021</v>
      </c>
      <c r="I34" s="222">
        <v>2768.89003</v>
      </c>
      <c r="J34" s="222">
        <v>0</v>
      </c>
      <c r="K34" s="222">
        <v>2768.89003</v>
      </c>
      <c r="L34" s="222">
        <v>133768.13221000001</v>
      </c>
      <c r="M34" s="222">
        <v>12060.504150000001</v>
      </c>
      <c r="N34" s="222">
        <v>121707.62806</v>
      </c>
      <c r="O34" s="222">
        <v>12286.136990000001</v>
      </c>
      <c r="P34" s="222">
        <v>109421.49107</v>
      </c>
      <c r="Q34" s="152">
        <v>94.392762742420558</v>
      </c>
      <c r="R34" s="222">
        <v>80.398001133257793</v>
      </c>
      <c r="S34" s="152">
        <v>96.049536437586454</v>
      </c>
      <c r="T34" s="152">
        <v>71.051385472486686</v>
      </c>
      <c r="U34" s="222">
        <v>100</v>
      </c>
      <c r="V34" s="222">
        <v>130072.32970999999</v>
      </c>
      <c r="W34" s="222">
        <v>11133.59168</v>
      </c>
      <c r="X34" s="222">
        <v>118938.73802999999</v>
      </c>
      <c r="Y34" s="222">
        <v>12286.136990000001</v>
      </c>
      <c r="Z34" s="222">
        <v>106652.60103999999</v>
      </c>
      <c r="AA34" s="152">
        <v>88.296045242865802</v>
      </c>
      <c r="AB34" s="152">
        <v>64.47070690787406</v>
      </c>
      <c r="AC34" s="222">
        <v>91.459921068309441</v>
      </c>
      <c r="AD34" s="429">
        <v>71.051385472486686</v>
      </c>
      <c r="AE34" s="223">
        <v>94.589799722178256</v>
      </c>
    </row>
    <row r="35" spans="1:31" x14ac:dyDescent="0.25">
      <c r="A35" s="221" t="s">
        <v>177</v>
      </c>
      <c r="B35" s="222">
        <v>945.48352999999997</v>
      </c>
      <c r="C35" s="222">
        <v>888.95511999999997</v>
      </c>
      <c r="D35" s="222">
        <v>56.528410000000001</v>
      </c>
      <c r="E35" s="222">
        <v>0</v>
      </c>
      <c r="F35" s="222">
        <v>56.528410000000001</v>
      </c>
      <c r="G35" s="222">
        <v>711.43341999999996</v>
      </c>
      <c r="H35" s="222">
        <v>797.24343999999996</v>
      </c>
      <c r="I35" s="222">
        <v>-85.81001999999998</v>
      </c>
      <c r="J35" s="222">
        <v>0</v>
      </c>
      <c r="K35" s="222">
        <v>-85.81001999999998</v>
      </c>
      <c r="L35" s="222">
        <v>68817.49669</v>
      </c>
      <c r="M35" s="222">
        <v>6874.3188399999999</v>
      </c>
      <c r="N35" s="222">
        <v>61943.17785</v>
      </c>
      <c r="O35" s="222">
        <v>0</v>
      </c>
      <c r="P35" s="222">
        <v>61943.17785</v>
      </c>
      <c r="Q35" s="152">
        <v>101.38073394826407</v>
      </c>
      <c r="R35" s="152">
        <v>114.69429104094705</v>
      </c>
      <c r="S35" s="152">
        <v>100.09134184918963</v>
      </c>
      <c r="T35" s="222"/>
      <c r="U35" s="152">
        <v>100.09134184918963</v>
      </c>
      <c r="V35" s="222">
        <v>68106.063269999999</v>
      </c>
      <c r="W35" s="222">
        <v>6077.0753999999997</v>
      </c>
      <c r="X35" s="222">
        <v>62028.987869999997</v>
      </c>
      <c r="Y35" s="222">
        <v>0</v>
      </c>
      <c r="Z35" s="222">
        <v>62028.987869999997</v>
      </c>
      <c r="AA35" s="152">
        <v>99.987905829079466</v>
      </c>
      <c r="AB35" s="222">
        <v>99.864627182726167</v>
      </c>
      <c r="AC35" s="152">
        <v>100.00000000000001</v>
      </c>
      <c r="AD35" s="281"/>
      <c r="AE35" s="407">
        <v>100.00000000000001</v>
      </c>
    </row>
    <row r="36" spans="1:31" s="199" customFormat="1" x14ac:dyDescent="0.25">
      <c r="A36" s="224" t="s">
        <v>178</v>
      </c>
      <c r="B36" s="225">
        <v>688288.62317000015</v>
      </c>
      <c r="C36" s="225">
        <v>157733.43064000001</v>
      </c>
      <c r="D36" s="225">
        <v>530555.19253</v>
      </c>
      <c r="E36" s="225">
        <v>206757.54299000002</v>
      </c>
      <c r="F36" s="225">
        <v>321910.14954000007</v>
      </c>
      <c r="G36" s="225">
        <v>111748.67102999998</v>
      </c>
      <c r="H36" s="225">
        <v>-14621.687449999989</v>
      </c>
      <c r="I36" s="225">
        <v>126370.35848</v>
      </c>
      <c r="J36" s="225">
        <v>3160.3584000000037</v>
      </c>
      <c r="K36" s="225">
        <v>122328.0385</v>
      </c>
      <c r="L36" s="225">
        <v>30900226.148480009</v>
      </c>
      <c r="M36" s="225">
        <v>1846583.3323299999</v>
      </c>
      <c r="N36" s="225">
        <v>29053642.816149998</v>
      </c>
      <c r="O36" s="225">
        <v>3723821.2964399992</v>
      </c>
      <c r="P36" s="225">
        <v>25322406.499189999</v>
      </c>
      <c r="Q36" s="225">
        <v>98.450991142524103</v>
      </c>
      <c r="R36" s="225">
        <v>86.264475425008655</v>
      </c>
      <c r="S36" s="225">
        <v>99.342966818104344</v>
      </c>
      <c r="T36" s="225">
        <v>96.931723965953822</v>
      </c>
      <c r="U36" s="225">
        <v>99.709624531496843</v>
      </c>
      <c r="V36" s="225">
        <v>30792825.483090002</v>
      </c>
      <c r="W36" s="225">
        <v>1880113.1949399998</v>
      </c>
      <c r="X36" s="225">
        <v>28912712.288149998</v>
      </c>
      <c r="Y36" s="225">
        <v>3705290.5944400001</v>
      </c>
      <c r="Z36" s="225">
        <v>25200919.173189998</v>
      </c>
      <c r="AA36" s="225">
        <v>96.420333055582347</v>
      </c>
      <c r="AB36" s="225">
        <v>81.980518673150442</v>
      </c>
      <c r="AC36" s="225">
        <v>97.537499101461222</v>
      </c>
      <c r="AD36" s="282">
        <v>91.847489220425217</v>
      </c>
      <c r="AE36" s="226">
        <v>98.442785637747235</v>
      </c>
    </row>
    <row r="37" spans="1:31" x14ac:dyDescent="0.25">
      <c r="A37" s="221" t="s">
        <v>315</v>
      </c>
      <c r="B37" s="222">
        <v>6147808.8594500003</v>
      </c>
      <c r="C37" s="222">
        <v>2631938.2832800001</v>
      </c>
      <c r="D37" s="222">
        <v>3515870.5761700002</v>
      </c>
      <c r="E37" s="222">
        <v>2619463.7146500004</v>
      </c>
      <c r="F37" s="222">
        <v>891765.19484999997</v>
      </c>
      <c r="G37" s="222">
        <v>1228276.8208300001</v>
      </c>
      <c r="H37" s="222">
        <v>525896.06687000021</v>
      </c>
      <c r="I37" s="222">
        <v>702380.75396000023</v>
      </c>
      <c r="J37" s="222">
        <v>433547.87446000025</v>
      </c>
      <c r="K37" s="222">
        <v>308486.21282999986</v>
      </c>
      <c r="L37" s="222">
        <v>50670621.396590002</v>
      </c>
      <c r="M37" s="222">
        <v>24232172.245890003</v>
      </c>
      <c r="N37" s="222">
        <v>26438449.150699992</v>
      </c>
      <c r="O37" s="222">
        <v>11482093.513689999</v>
      </c>
      <c r="P37" s="222">
        <v>14898355.637010003</v>
      </c>
      <c r="Q37" s="222">
        <v>99.24626274767671</v>
      </c>
      <c r="R37" s="222">
        <v>98.509473039561314</v>
      </c>
      <c r="S37" s="222">
        <v>99.931314729523763</v>
      </c>
      <c r="T37" s="222">
        <v>99.841987978870847</v>
      </c>
      <c r="U37" s="222">
        <v>100</v>
      </c>
      <c r="V37" s="222">
        <v>49424971.024510004</v>
      </c>
      <c r="W37" s="222">
        <v>23758792.953389999</v>
      </c>
      <c r="X37" s="222">
        <v>25666178.071119998</v>
      </c>
      <c r="Y37" s="222">
        <v>11004823.823100001</v>
      </c>
      <c r="Z37" s="222">
        <v>14563700.914690003</v>
      </c>
      <c r="AA37" s="152">
        <v>91.047533463100592</v>
      </c>
      <c r="AB37" s="152">
        <v>92.10792067603002</v>
      </c>
      <c r="AC37" s="152">
        <v>90.087480670082854</v>
      </c>
      <c r="AD37" s="281">
        <v>84.520793437075923</v>
      </c>
      <c r="AE37" s="407">
        <v>94.768058176131944</v>
      </c>
    </row>
    <row r="38" spans="1:31" s="199" customFormat="1" ht="13.8" thickBot="1" x14ac:dyDescent="0.3">
      <c r="A38" s="197" t="s">
        <v>316</v>
      </c>
      <c r="B38" s="194">
        <v>6836097.4826200008</v>
      </c>
      <c r="C38" s="194">
        <v>2789671.71392</v>
      </c>
      <c r="D38" s="194">
        <v>4046425.7687000004</v>
      </c>
      <c r="E38" s="194">
        <v>2826221.2576400004</v>
      </c>
      <c r="F38" s="194">
        <v>1213675.34439</v>
      </c>
      <c r="G38" s="194">
        <v>1340025.4918600002</v>
      </c>
      <c r="H38" s="194">
        <v>511274.37942000024</v>
      </c>
      <c r="I38" s="194">
        <v>828751.11244000029</v>
      </c>
      <c r="J38" s="194">
        <v>436708.23286000028</v>
      </c>
      <c r="K38" s="194">
        <v>430814.25132999988</v>
      </c>
      <c r="L38" s="194">
        <v>81570847.545070007</v>
      </c>
      <c r="M38" s="194">
        <v>26078755.578220002</v>
      </c>
      <c r="N38" s="194">
        <v>55492091.96684999</v>
      </c>
      <c r="O38" s="194">
        <v>15205914.810129998</v>
      </c>
      <c r="P38" s="194">
        <v>40220762.136200003</v>
      </c>
      <c r="Q38" s="194">
        <v>98.943495205923014</v>
      </c>
      <c r="R38" s="194">
        <v>97.529208112299898</v>
      </c>
      <c r="S38" s="194">
        <v>99.622410658036614</v>
      </c>
      <c r="T38" s="194">
        <v>99.113244929738769</v>
      </c>
      <c r="U38" s="194">
        <v>99.816986983411155</v>
      </c>
      <c r="V38" s="194">
        <v>80217796.507600009</v>
      </c>
      <c r="W38" s="194">
        <v>25638906.148329999</v>
      </c>
      <c r="X38" s="194">
        <v>54578890.359269992</v>
      </c>
      <c r="Y38" s="194">
        <v>14710114.417540001</v>
      </c>
      <c r="Z38" s="194">
        <v>39764620.08788</v>
      </c>
      <c r="AA38" s="194">
        <v>93.037608093027956</v>
      </c>
      <c r="AB38" s="194">
        <v>91.281021830450072</v>
      </c>
      <c r="AC38" s="194">
        <v>93.886331440493862</v>
      </c>
      <c r="AD38" s="283">
        <v>86.253902312781051</v>
      </c>
      <c r="AE38" s="195">
        <v>97.06431455819731</v>
      </c>
    </row>
    <row r="39" spans="1:31" ht="13.8" thickTop="1" x14ac:dyDescent="0.25"/>
  </sheetData>
  <autoFilter ref="A9:AE38"/>
  <mergeCells count="45">
    <mergeCell ref="J1:K1"/>
    <mergeCell ref="T1:U1"/>
    <mergeCell ref="AD1:AE1"/>
    <mergeCell ref="V4:AE4"/>
    <mergeCell ref="AA5:AE5"/>
    <mergeCell ref="B2:K2"/>
    <mergeCell ref="L4:U4"/>
    <mergeCell ref="B4:K4"/>
    <mergeCell ref="E6:F6"/>
    <mergeCell ref="W7:W8"/>
    <mergeCell ref="X7:X8"/>
    <mergeCell ref="V5:Z5"/>
    <mergeCell ref="AB6:AE6"/>
    <mergeCell ref="AB7:AB8"/>
    <mergeCell ref="AC7:AC8"/>
    <mergeCell ref="Y7:Z7"/>
    <mergeCell ref="AD7:AE7"/>
    <mergeCell ref="L5:P5"/>
    <mergeCell ref="M6:P6"/>
    <mergeCell ref="M7:M8"/>
    <mergeCell ref="N7:N8"/>
    <mergeCell ref="R6:U6"/>
    <mergeCell ref="R7:R8"/>
    <mergeCell ref="S7:S8"/>
    <mergeCell ref="H7:H8"/>
    <mergeCell ref="I7:I8"/>
    <mergeCell ref="G5:K5"/>
    <mergeCell ref="H6:K6"/>
    <mergeCell ref="Q5:U5"/>
    <mergeCell ref="A4:A8"/>
    <mergeCell ref="L6:L8"/>
    <mergeCell ref="Q6:Q8"/>
    <mergeCell ref="W6:Z6"/>
    <mergeCell ref="AA6:AA8"/>
    <mergeCell ref="V6:V8"/>
    <mergeCell ref="D6:D8"/>
    <mergeCell ref="G6:G8"/>
    <mergeCell ref="E7:E8"/>
    <mergeCell ref="J7:K7"/>
    <mergeCell ref="O7:P7"/>
    <mergeCell ref="T7:U7"/>
    <mergeCell ref="B5:B8"/>
    <mergeCell ref="C6:C8"/>
    <mergeCell ref="C5:F5"/>
    <mergeCell ref="F7:F8"/>
  </mergeCells>
  <conditionalFormatting sqref="B10:AE38">
    <cfRule type="cellIs" dxfId="4" priority="1" operator="equal">
      <formula>0</formula>
    </cfRule>
  </conditionalFormatting>
  <pageMargins left="0" right="0" top="0.55118110236220474" bottom="0.35433070866141736" header="0.31496062992125984" footer="0.11811023622047245"/>
  <pageSetup paperSize="9" scale="96" fitToWidth="100" orientation="landscape" r:id="rId1"/>
  <headerFooter>
    <oddFooter>&amp;C&amp;9&amp;P</oddFooter>
  </headerFooter>
  <colBreaks count="2" manualBreakCount="2">
    <brk id="11" max="37" man="1"/>
    <brk id="21" max="3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28"/>
  <sheetViews>
    <sheetView zoomScaleNormal="100" workbookViewId="0">
      <pane xSplit="1" ySplit="10" topLeftCell="B11" activePane="bottomRight" state="frozen"/>
      <selection pane="topRight" activeCell="B1" sqref="B1"/>
      <selection pane="bottomLeft" activeCell="A10" sqref="A10"/>
      <selection pane="bottomRight"/>
    </sheetView>
  </sheetViews>
  <sheetFormatPr defaultColWidth="9.109375" defaultRowHeight="13.2" x14ac:dyDescent="0.25"/>
  <cols>
    <col min="1" max="1" width="21.33203125" style="233" customWidth="1"/>
    <col min="2" max="3" width="11.109375" style="234" customWidth="1"/>
    <col min="4" max="4" width="11" style="234" customWidth="1"/>
    <col min="5" max="5" width="11.109375" style="234" customWidth="1"/>
    <col min="6" max="6" width="11.44140625" style="234" customWidth="1"/>
    <col min="7" max="7" width="11.33203125" style="234" bestFit="1" customWidth="1"/>
    <col min="8" max="8" width="10.6640625" style="234" customWidth="1"/>
    <col min="9" max="9" width="11" style="234" customWidth="1"/>
    <col min="10" max="10" width="11.33203125" style="234" bestFit="1" customWidth="1"/>
    <col min="11" max="12" width="12.33203125" style="234" bestFit="1" customWidth="1"/>
    <col min="13" max="13" width="12.33203125" style="234" customWidth="1"/>
    <col min="14" max="14" width="12.33203125" style="232" bestFit="1" customWidth="1"/>
    <col min="15" max="15" width="12" style="232" customWidth="1"/>
    <col min="16" max="16" width="12.33203125" style="232" bestFit="1" customWidth="1"/>
    <col min="17" max="17" width="6.33203125" style="232" bestFit="1" customWidth="1"/>
    <col min="18" max="18" width="7.109375" style="232" customWidth="1"/>
    <col min="19" max="19" width="7.33203125" style="232" customWidth="1"/>
    <col min="20" max="20" width="6.109375" style="232" bestFit="1" customWidth="1"/>
    <col min="21" max="21" width="8" style="232" bestFit="1" customWidth="1"/>
    <col min="22" max="22" width="12.33203125" style="232" bestFit="1" customWidth="1"/>
    <col min="23" max="23" width="12.88671875" style="232" customWidth="1"/>
    <col min="24" max="24" width="12.33203125" style="232" bestFit="1" customWidth="1"/>
    <col min="25" max="25" width="12.109375" style="232" customWidth="1"/>
    <col min="26" max="26" width="12.33203125" style="232" bestFit="1" customWidth="1"/>
    <col min="27" max="27" width="7.33203125" style="232" bestFit="1" customWidth="1"/>
    <col min="28" max="28" width="6.6640625" style="232" customWidth="1"/>
    <col min="29" max="29" width="8" style="232" customWidth="1"/>
    <col min="30" max="30" width="7.33203125" style="232" bestFit="1" customWidth="1"/>
    <col min="31" max="31" width="7.6640625" style="232" customWidth="1"/>
    <col min="32" max="16384" width="9.109375" style="232"/>
  </cols>
  <sheetData>
    <row r="1" spans="1:31" s="228" customFormat="1" ht="12.75" customHeight="1" x14ac:dyDescent="0.25">
      <c r="A1" s="219"/>
      <c r="B1" s="220"/>
      <c r="C1" s="220"/>
      <c r="D1" s="220"/>
      <c r="E1" s="220"/>
      <c r="F1" s="220"/>
      <c r="G1" s="220"/>
      <c r="H1" s="220"/>
      <c r="I1" s="220"/>
      <c r="J1" s="1190" t="s">
        <v>2470</v>
      </c>
      <c r="K1" s="1190"/>
      <c r="L1" s="220"/>
      <c r="M1" s="220"/>
      <c r="S1" s="1190" t="s">
        <v>2470</v>
      </c>
      <c r="T1" s="1190"/>
      <c r="U1" s="1190"/>
      <c r="AD1" s="1190" t="s">
        <v>2470</v>
      </c>
      <c r="AE1" s="1190"/>
    </row>
    <row r="2" spans="1:31" s="228" customFormat="1" x14ac:dyDescent="0.25">
      <c r="A2" s="219"/>
      <c r="B2" s="220"/>
      <c r="C2" s="220"/>
      <c r="D2" s="220"/>
      <c r="E2" s="220"/>
      <c r="F2" s="220"/>
      <c r="G2" s="220"/>
      <c r="H2" s="220"/>
      <c r="I2" s="220"/>
      <c r="J2" s="220"/>
      <c r="K2" s="220"/>
      <c r="L2" s="220"/>
      <c r="M2" s="220"/>
    </row>
    <row r="3" spans="1:31" s="229" customFormat="1" ht="42.75" customHeight="1" x14ac:dyDescent="0.25">
      <c r="A3" s="279"/>
      <c r="B3" s="1012" t="s">
        <v>1210</v>
      </c>
      <c r="C3" s="1012"/>
      <c r="D3" s="1012"/>
      <c r="E3" s="1012"/>
      <c r="F3" s="1012"/>
      <c r="G3" s="1012"/>
      <c r="H3" s="1012"/>
      <c r="I3" s="1012"/>
      <c r="J3" s="1012"/>
      <c r="K3" s="1012"/>
      <c r="L3" s="279"/>
      <c r="M3" s="279"/>
    </row>
    <row r="4" spans="1:31" s="229" customFormat="1" ht="24" customHeight="1" thickBot="1" x14ac:dyDescent="0.3">
      <c r="A4" s="219"/>
      <c r="B4" s="219"/>
      <c r="C4" s="219"/>
      <c r="D4" s="219"/>
      <c r="E4" s="219"/>
      <c r="F4" s="219"/>
      <c r="G4" s="219"/>
      <c r="H4" s="219"/>
      <c r="I4" s="219"/>
      <c r="J4" s="219"/>
      <c r="K4" s="723" t="s">
        <v>180</v>
      </c>
      <c r="L4" s="284"/>
      <c r="M4" s="284"/>
      <c r="U4" s="723" t="s">
        <v>180</v>
      </c>
      <c r="AE4" s="723" t="s">
        <v>180</v>
      </c>
    </row>
    <row r="5" spans="1:31" s="183" customFormat="1" ht="13.5" customHeight="1" thickTop="1" x14ac:dyDescent="0.25">
      <c r="A5" s="1175" t="s">
        <v>311</v>
      </c>
      <c r="B5" s="1013" t="s">
        <v>366</v>
      </c>
      <c r="C5" s="1013"/>
      <c r="D5" s="1013"/>
      <c r="E5" s="1013"/>
      <c r="F5" s="1013"/>
      <c r="G5" s="1013"/>
      <c r="H5" s="1013"/>
      <c r="I5" s="1013"/>
      <c r="J5" s="1013"/>
      <c r="K5" s="1013"/>
      <c r="L5" s="1013" t="s">
        <v>312</v>
      </c>
      <c r="M5" s="1013"/>
      <c r="N5" s="1013"/>
      <c r="O5" s="1013"/>
      <c r="P5" s="1013"/>
      <c r="Q5" s="1013"/>
      <c r="R5" s="1013"/>
      <c r="S5" s="1013"/>
      <c r="T5" s="1013"/>
      <c r="U5" s="1013"/>
      <c r="V5" s="1013" t="s">
        <v>313</v>
      </c>
      <c r="W5" s="1013"/>
      <c r="X5" s="1013"/>
      <c r="Y5" s="1013"/>
      <c r="Z5" s="1013"/>
      <c r="AA5" s="1013"/>
      <c r="AB5" s="1013"/>
      <c r="AC5" s="1013"/>
      <c r="AD5" s="1013"/>
      <c r="AE5" s="1014"/>
    </row>
    <row r="6" spans="1:31" s="183" customFormat="1" x14ac:dyDescent="0.25">
      <c r="A6" s="1176"/>
      <c r="B6" s="1009" t="s">
        <v>628</v>
      </c>
      <c r="C6" s="1009" t="s">
        <v>9</v>
      </c>
      <c r="D6" s="1009"/>
      <c r="E6" s="1009"/>
      <c r="F6" s="1009"/>
      <c r="G6" s="1009" t="s">
        <v>629</v>
      </c>
      <c r="H6" s="1009"/>
      <c r="I6" s="1009"/>
      <c r="J6" s="1009"/>
      <c r="K6" s="1009"/>
      <c r="L6" s="1009" t="s">
        <v>630</v>
      </c>
      <c r="M6" s="1009"/>
      <c r="N6" s="1009"/>
      <c r="O6" s="1009"/>
      <c r="P6" s="1009"/>
      <c r="Q6" s="1009" t="s">
        <v>361</v>
      </c>
      <c r="R6" s="1009"/>
      <c r="S6" s="1009"/>
      <c r="T6" s="1009"/>
      <c r="U6" s="1009"/>
      <c r="V6" s="1009" t="s">
        <v>630</v>
      </c>
      <c r="W6" s="1009"/>
      <c r="X6" s="1009"/>
      <c r="Y6" s="1009"/>
      <c r="Z6" s="1009"/>
      <c r="AA6" s="1009" t="s">
        <v>361</v>
      </c>
      <c r="AB6" s="1009"/>
      <c r="AC6" s="1009"/>
      <c r="AD6" s="1009"/>
      <c r="AE6" s="1010"/>
    </row>
    <row r="7" spans="1:31" s="183" customFormat="1" ht="12.75" customHeight="1" x14ac:dyDescent="0.25">
      <c r="A7" s="1176"/>
      <c r="B7" s="1009"/>
      <c r="C7" s="1009" t="s">
        <v>363</v>
      </c>
      <c r="D7" s="1009" t="s">
        <v>314</v>
      </c>
      <c r="E7" s="1009" t="s">
        <v>368</v>
      </c>
      <c r="F7" s="1009"/>
      <c r="G7" s="1009" t="s">
        <v>186</v>
      </c>
      <c r="H7" s="1009" t="s">
        <v>9</v>
      </c>
      <c r="I7" s="1009"/>
      <c r="J7" s="1009"/>
      <c r="K7" s="1009"/>
      <c r="L7" s="1009" t="s">
        <v>186</v>
      </c>
      <c r="M7" s="1009" t="s">
        <v>9</v>
      </c>
      <c r="N7" s="1009"/>
      <c r="O7" s="1009"/>
      <c r="P7" s="1009"/>
      <c r="Q7" s="1009" t="s">
        <v>186</v>
      </c>
      <c r="R7" s="1009" t="s">
        <v>9</v>
      </c>
      <c r="S7" s="1009"/>
      <c r="T7" s="1009"/>
      <c r="U7" s="1009"/>
      <c r="V7" s="1009" t="s">
        <v>186</v>
      </c>
      <c r="W7" s="1009" t="s">
        <v>9</v>
      </c>
      <c r="X7" s="1009"/>
      <c r="Y7" s="1009"/>
      <c r="Z7" s="1009"/>
      <c r="AA7" s="1009" t="s">
        <v>186</v>
      </c>
      <c r="AB7" s="1009" t="s">
        <v>9</v>
      </c>
      <c r="AC7" s="1009"/>
      <c r="AD7" s="1009"/>
      <c r="AE7" s="1010"/>
    </row>
    <row r="8" spans="1:31" s="183" customFormat="1" x14ac:dyDescent="0.25">
      <c r="A8" s="1176"/>
      <c r="B8" s="1009"/>
      <c r="C8" s="1009"/>
      <c r="D8" s="1009"/>
      <c r="E8" s="1009" t="s">
        <v>422</v>
      </c>
      <c r="F8" s="1009" t="s">
        <v>364</v>
      </c>
      <c r="G8" s="1009"/>
      <c r="H8" s="1009" t="s">
        <v>363</v>
      </c>
      <c r="I8" s="1009" t="s">
        <v>314</v>
      </c>
      <c r="J8" s="1009" t="s">
        <v>368</v>
      </c>
      <c r="K8" s="1009"/>
      <c r="L8" s="1009"/>
      <c r="M8" s="1009" t="s">
        <v>363</v>
      </c>
      <c r="N8" s="1009" t="s">
        <v>317</v>
      </c>
      <c r="O8" s="1009" t="s">
        <v>368</v>
      </c>
      <c r="P8" s="1009"/>
      <c r="Q8" s="1009"/>
      <c r="R8" s="1185" t="s">
        <v>367</v>
      </c>
      <c r="S8" s="1185" t="s">
        <v>314</v>
      </c>
      <c r="T8" s="1185" t="s">
        <v>368</v>
      </c>
      <c r="U8" s="1185"/>
      <c r="V8" s="1009"/>
      <c r="W8" s="1009" t="s">
        <v>363</v>
      </c>
      <c r="X8" s="1009" t="s">
        <v>317</v>
      </c>
      <c r="Y8" s="1009" t="s">
        <v>368</v>
      </c>
      <c r="Z8" s="1009"/>
      <c r="AA8" s="1009"/>
      <c r="AB8" s="1185" t="s">
        <v>367</v>
      </c>
      <c r="AC8" s="1185" t="s">
        <v>314</v>
      </c>
      <c r="AD8" s="1185" t="s">
        <v>368</v>
      </c>
      <c r="AE8" s="1189"/>
    </row>
    <row r="9" spans="1:31" s="274" customFormat="1" ht="38.25" customHeight="1" x14ac:dyDescent="0.25">
      <c r="A9" s="1176"/>
      <c r="B9" s="1009"/>
      <c r="C9" s="1009"/>
      <c r="D9" s="1009"/>
      <c r="E9" s="1009"/>
      <c r="F9" s="1009"/>
      <c r="G9" s="1009"/>
      <c r="H9" s="1009"/>
      <c r="I9" s="1009"/>
      <c r="J9" s="272" t="s">
        <v>422</v>
      </c>
      <c r="K9" s="272" t="s">
        <v>364</v>
      </c>
      <c r="L9" s="1009"/>
      <c r="M9" s="1009"/>
      <c r="N9" s="1009"/>
      <c r="O9" s="272" t="s">
        <v>422</v>
      </c>
      <c r="P9" s="272" t="s">
        <v>364</v>
      </c>
      <c r="Q9" s="1009"/>
      <c r="R9" s="1185"/>
      <c r="S9" s="1185"/>
      <c r="T9" s="276" t="s">
        <v>422</v>
      </c>
      <c r="U9" s="276" t="s">
        <v>364</v>
      </c>
      <c r="V9" s="1009"/>
      <c r="W9" s="1009"/>
      <c r="X9" s="1009"/>
      <c r="Y9" s="272" t="s">
        <v>422</v>
      </c>
      <c r="Z9" s="272" t="s">
        <v>364</v>
      </c>
      <c r="AA9" s="1009"/>
      <c r="AB9" s="1185"/>
      <c r="AC9" s="1185"/>
      <c r="AD9" s="276" t="s">
        <v>422</v>
      </c>
      <c r="AE9" s="277" t="s">
        <v>364</v>
      </c>
    </row>
    <row r="10" spans="1:31" s="235" customFormat="1" ht="10.199999999999999" x14ac:dyDescent="0.25">
      <c r="A10" s="202">
        <v>1</v>
      </c>
      <c r="B10" s="289">
        <v>2</v>
      </c>
      <c r="C10" s="289">
        <v>3</v>
      </c>
      <c r="D10" s="289">
        <v>4</v>
      </c>
      <c r="E10" s="289">
        <v>5</v>
      </c>
      <c r="F10" s="289">
        <v>6</v>
      </c>
      <c r="G10" s="289">
        <v>7</v>
      </c>
      <c r="H10" s="289">
        <v>8</v>
      </c>
      <c r="I10" s="289">
        <v>9</v>
      </c>
      <c r="J10" s="289">
        <v>10</v>
      </c>
      <c r="K10" s="289">
        <v>11</v>
      </c>
      <c r="L10" s="289">
        <v>12</v>
      </c>
      <c r="M10" s="289">
        <v>13</v>
      </c>
      <c r="N10" s="289">
        <v>14</v>
      </c>
      <c r="O10" s="289">
        <v>15</v>
      </c>
      <c r="P10" s="289">
        <v>16</v>
      </c>
      <c r="Q10" s="289">
        <v>17</v>
      </c>
      <c r="R10" s="289">
        <v>18</v>
      </c>
      <c r="S10" s="289">
        <v>19</v>
      </c>
      <c r="T10" s="289">
        <v>20</v>
      </c>
      <c r="U10" s="289">
        <v>21</v>
      </c>
      <c r="V10" s="289">
        <v>22</v>
      </c>
      <c r="W10" s="289">
        <v>23</v>
      </c>
      <c r="X10" s="289">
        <v>24</v>
      </c>
      <c r="Y10" s="289">
        <v>25</v>
      </c>
      <c r="Z10" s="289">
        <v>26</v>
      </c>
      <c r="AA10" s="289">
        <v>27</v>
      </c>
      <c r="AB10" s="289">
        <v>28</v>
      </c>
      <c r="AC10" s="289">
        <v>29</v>
      </c>
      <c r="AD10" s="289">
        <v>30</v>
      </c>
      <c r="AE10" s="290">
        <v>31</v>
      </c>
    </row>
    <row r="11" spans="1:31" s="228" customFormat="1" x14ac:dyDescent="0.25">
      <c r="A11" s="221" t="s">
        <v>369</v>
      </c>
      <c r="B11" s="190">
        <v>37725.741900000001</v>
      </c>
      <c r="C11" s="190">
        <v>37725.741900000001</v>
      </c>
      <c r="D11" s="190">
        <v>0</v>
      </c>
      <c r="E11" s="190">
        <v>0</v>
      </c>
      <c r="F11" s="190">
        <v>0</v>
      </c>
      <c r="G11" s="190">
        <v>17117.818160000003</v>
      </c>
      <c r="H11" s="190">
        <v>17117.818160000003</v>
      </c>
      <c r="I11" s="190">
        <v>0</v>
      </c>
      <c r="J11" s="190">
        <v>0</v>
      </c>
      <c r="K11" s="190">
        <v>0</v>
      </c>
      <c r="L11" s="190">
        <v>185198.76582999999</v>
      </c>
      <c r="M11" s="190">
        <v>117038.62686999999</v>
      </c>
      <c r="N11" s="190">
        <v>68160.138959999997</v>
      </c>
      <c r="O11" s="190">
        <v>771.57411000000002</v>
      </c>
      <c r="P11" s="190">
        <v>67388.564849999995</v>
      </c>
      <c r="Q11" s="196">
        <v>102.67221457590756</v>
      </c>
      <c r="R11" s="196">
        <v>104.97670282257684</v>
      </c>
      <c r="S11" s="196">
        <v>98.942602605256624</v>
      </c>
      <c r="T11" s="196">
        <v>51.438274</v>
      </c>
      <c r="U11" s="190">
        <v>99.999999999999986</v>
      </c>
      <c r="V11" s="190">
        <v>168080.94766999999</v>
      </c>
      <c r="W11" s="190">
        <v>99920.808709999998</v>
      </c>
      <c r="X11" s="190">
        <v>68160.138959999997</v>
      </c>
      <c r="Y11" s="190">
        <v>771.57411000000002</v>
      </c>
      <c r="Z11" s="190">
        <v>67388.564849999995</v>
      </c>
      <c r="AA11" s="190">
        <v>92.203596950686418</v>
      </c>
      <c r="AB11" s="190">
        <v>88.109935700926258</v>
      </c>
      <c r="AC11" s="190">
        <v>98.942602605256624</v>
      </c>
      <c r="AD11" s="196">
        <v>51.438274</v>
      </c>
      <c r="AE11" s="191">
        <v>99.999999999999986</v>
      </c>
    </row>
    <row r="12" spans="1:31" s="228" customFormat="1" x14ac:dyDescent="0.25">
      <c r="A12" s="230" t="s">
        <v>370</v>
      </c>
      <c r="B12" s="190">
        <v>252402.37394999998</v>
      </c>
      <c r="C12" s="190">
        <v>34836.601210000001</v>
      </c>
      <c r="D12" s="190">
        <v>217565.77273999999</v>
      </c>
      <c r="E12" s="190">
        <v>192678.10759</v>
      </c>
      <c r="F12" s="190">
        <v>24887.665150000001</v>
      </c>
      <c r="G12" s="190">
        <v>200689.55027999997</v>
      </c>
      <c r="H12" s="190">
        <v>17966.49987</v>
      </c>
      <c r="I12" s="190">
        <v>182723.05041</v>
      </c>
      <c r="J12" s="190">
        <v>167102.25025000001</v>
      </c>
      <c r="K12" s="190">
        <v>15620.800160000001</v>
      </c>
      <c r="L12" s="190">
        <v>922554.95280999993</v>
      </c>
      <c r="M12" s="190">
        <v>74219.75851</v>
      </c>
      <c r="N12" s="190">
        <v>848335.19429999997</v>
      </c>
      <c r="O12" s="190">
        <v>253115.495</v>
      </c>
      <c r="P12" s="190">
        <v>595219.69929999998</v>
      </c>
      <c r="Q12" s="196">
        <v>101.21522568073614</v>
      </c>
      <c r="R12" s="196">
        <v>117.54189403271045</v>
      </c>
      <c r="S12" s="190">
        <v>100</v>
      </c>
      <c r="T12" s="190">
        <v>100</v>
      </c>
      <c r="U12" s="190">
        <v>100</v>
      </c>
      <c r="V12" s="190">
        <v>720754.96396999992</v>
      </c>
      <c r="W12" s="190">
        <v>56216.977400000003</v>
      </c>
      <c r="X12" s="190">
        <v>664537.98656999995</v>
      </c>
      <c r="Y12" s="190">
        <v>85980.250750000007</v>
      </c>
      <c r="Z12" s="190">
        <v>578557.73581999994</v>
      </c>
      <c r="AA12" s="196">
        <v>74.913434611211201</v>
      </c>
      <c r="AB12" s="196">
        <v>70.25950610031191</v>
      </c>
      <c r="AC12" s="196">
        <v>75.335580373199591</v>
      </c>
      <c r="AD12" s="196">
        <v>30.855076898534207</v>
      </c>
      <c r="AE12" s="191">
        <v>95.875738698149874</v>
      </c>
    </row>
    <row r="13" spans="1:31" s="228" customFormat="1" x14ac:dyDescent="0.25">
      <c r="A13" s="230" t="s">
        <v>371</v>
      </c>
      <c r="B13" s="190">
        <v>4540553.09662</v>
      </c>
      <c r="C13" s="190">
        <v>2397676.7114599999</v>
      </c>
      <c r="D13" s="190">
        <v>2142876.3851600001</v>
      </c>
      <c r="E13" s="190">
        <v>1494329.3241000001</v>
      </c>
      <c r="F13" s="190">
        <v>648547.06105999998</v>
      </c>
      <c r="G13" s="190">
        <v>988242.92492000014</v>
      </c>
      <c r="H13" s="190">
        <v>482659.95074999996</v>
      </c>
      <c r="I13" s="190">
        <v>505582.97417000006</v>
      </c>
      <c r="J13" s="190">
        <v>301859.25586000015</v>
      </c>
      <c r="K13" s="190">
        <v>208518.71830999997</v>
      </c>
      <c r="L13" s="190">
        <v>35081555.763109997</v>
      </c>
      <c r="M13" s="190">
        <v>22657689.46714</v>
      </c>
      <c r="N13" s="190">
        <v>12423866.29597</v>
      </c>
      <c r="O13" s="190">
        <v>8097892.7396900002</v>
      </c>
      <c r="P13" s="190">
        <v>4325973.5562800001</v>
      </c>
      <c r="Q13" s="190">
        <v>99.032458239228689</v>
      </c>
      <c r="R13" s="190">
        <v>98.510369247710059</v>
      </c>
      <c r="S13" s="190">
        <v>99.998992077145289</v>
      </c>
      <c r="T13" s="190">
        <v>99.998453643217914</v>
      </c>
      <c r="U13" s="190">
        <v>100</v>
      </c>
      <c r="V13" s="190">
        <v>34100555.476230003</v>
      </c>
      <c r="W13" s="190">
        <v>22196451.36287</v>
      </c>
      <c r="X13" s="190">
        <v>11904104.113360001</v>
      </c>
      <c r="Y13" s="190">
        <v>7794158.5356700001</v>
      </c>
      <c r="Z13" s="190">
        <v>4105150.5776900002</v>
      </c>
      <c r="AA13" s="190">
        <v>91.053571721836349</v>
      </c>
      <c r="AB13" s="190">
        <v>92.288897951978001</v>
      </c>
      <c r="AC13" s="190">
        <v>88.836346932225169</v>
      </c>
      <c r="AD13" s="190">
        <v>89.336610179521614</v>
      </c>
      <c r="AE13" s="191">
        <v>87.890447347273025</v>
      </c>
    </row>
    <row r="14" spans="1:31" s="228" customFormat="1" ht="26.4" x14ac:dyDescent="0.25">
      <c r="A14" s="230" t="s">
        <v>372</v>
      </c>
      <c r="B14" s="190">
        <v>20149.256380000003</v>
      </c>
      <c r="C14" s="190">
        <v>1111.4403500000001</v>
      </c>
      <c r="D14" s="190">
        <v>19037.816030000002</v>
      </c>
      <c r="E14" s="190">
        <v>19037.816030000002</v>
      </c>
      <c r="F14" s="190">
        <v>0</v>
      </c>
      <c r="G14" s="190">
        <v>-15707.005560000001</v>
      </c>
      <c r="H14" s="190">
        <v>462.83237000000008</v>
      </c>
      <c r="I14" s="190">
        <v>-16169.837930000002</v>
      </c>
      <c r="J14" s="190">
        <v>-16169.837930000002</v>
      </c>
      <c r="K14" s="190">
        <v>0</v>
      </c>
      <c r="L14" s="190">
        <v>61652.24742</v>
      </c>
      <c r="M14" s="190">
        <v>2009.3474200000001</v>
      </c>
      <c r="N14" s="190">
        <v>59642.9</v>
      </c>
      <c r="O14" s="190">
        <v>52979.8</v>
      </c>
      <c r="P14" s="190">
        <v>6663.1</v>
      </c>
      <c r="Q14" s="190">
        <v>100</v>
      </c>
      <c r="R14" s="190">
        <v>100</v>
      </c>
      <c r="S14" s="190">
        <v>100</v>
      </c>
      <c r="T14" s="190">
        <v>100</v>
      </c>
      <c r="U14" s="190">
        <v>100</v>
      </c>
      <c r="V14" s="190">
        <v>77359.252980000005</v>
      </c>
      <c r="W14" s="190">
        <v>1546.51505</v>
      </c>
      <c r="X14" s="190">
        <v>75812.737930000003</v>
      </c>
      <c r="Y14" s="190">
        <v>69149.637929999997</v>
      </c>
      <c r="Z14" s="190">
        <v>6663.1</v>
      </c>
      <c r="AA14" s="190">
        <v>80.250627715636185</v>
      </c>
      <c r="AB14" s="190">
        <v>100</v>
      </c>
      <c r="AC14" s="190">
        <v>79.928619037872409</v>
      </c>
      <c r="AD14" s="190">
        <v>78.412103791277204</v>
      </c>
      <c r="AE14" s="191">
        <v>100</v>
      </c>
    </row>
    <row r="15" spans="1:31" s="228" customFormat="1" x14ac:dyDescent="0.25">
      <c r="A15" s="230" t="s">
        <v>373</v>
      </c>
      <c r="B15" s="190">
        <v>187163.92408</v>
      </c>
      <c r="C15" s="190">
        <v>17494.916539999998</v>
      </c>
      <c r="D15" s="190">
        <v>169669.00753999999</v>
      </c>
      <c r="E15" s="190">
        <v>137690.39314</v>
      </c>
      <c r="F15" s="190">
        <v>31978.614399999999</v>
      </c>
      <c r="G15" s="190">
        <v>5970.07600000003</v>
      </c>
      <c r="H15" s="190">
        <v>-3061.423990000003</v>
      </c>
      <c r="I15" s="190">
        <v>9031.4999900000112</v>
      </c>
      <c r="J15" s="190">
        <v>-8783.7463899999857</v>
      </c>
      <c r="K15" s="190">
        <v>17815.246379999997</v>
      </c>
      <c r="L15" s="190">
        <v>1576078.9634700001</v>
      </c>
      <c r="M15" s="190">
        <v>119720.39027</v>
      </c>
      <c r="N15" s="190">
        <v>1456358.5732</v>
      </c>
      <c r="O15" s="190">
        <v>166187.08627999999</v>
      </c>
      <c r="P15" s="190">
        <v>1290171.4869200001</v>
      </c>
      <c r="Q15" s="190">
        <v>99.875347878265515</v>
      </c>
      <c r="R15" s="190">
        <v>98.383508136147796</v>
      </c>
      <c r="S15" s="190">
        <v>100</v>
      </c>
      <c r="T15" s="190">
        <v>100</v>
      </c>
      <c r="U15" s="190">
        <v>100</v>
      </c>
      <c r="V15" s="190">
        <v>1555643.2526799999</v>
      </c>
      <c r="W15" s="190">
        <v>122518.4307</v>
      </c>
      <c r="X15" s="190">
        <v>1433124.82198</v>
      </c>
      <c r="Y15" s="190">
        <v>160706.50536000001</v>
      </c>
      <c r="Z15" s="190">
        <v>1272418.3166199999</v>
      </c>
      <c r="AA15" s="190">
        <v>89.007660373397044</v>
      </c>
      <c r="AB15" s="190">
        <v>86.173785882581015</v>
      </c>
      <c r="AC15" s="190">
        <v>89.258602126123535</v>
      </c>
      <c r="AD15" s="196">
        <v>53.352041565740329</v>
      </c>
      <c r="AE15" s="191">
        <v>97.550538898402436</v>
      </c>
    </row>
    <row r="16" spans="1:31" s="228" customFormat="1" x14ac:dyDescent="0.25">
      <c r="A16" s="230" t="s">
        <v>374</v>
      </c>
      <c r="B16" s="190">
        <v>188284.88783000002</v>
      </c>
      <c r="C16" s="190">
        <v>31099.6381</v>
      </c>
      <c r="D16" s="190">
        <v>157185.24973000001</v>
      </c>
      <c r="E16" s="190">
        <v>127834.19536</v>
      </c>
      <c r="F16" s="190">
        <v>29351.054370000002</v>
      </c>
      <c r="G16" s="190">
        <v>-99007.924959999975</v>
      </c>
      <c r="H16" s="190">
        <v>2112.5912500000013</v>
      </c>
      <c r="I16" s="190">
        <v>-101120.51621</v>
      </c>
      <c r="J16" s="190">
        <v>-60723.761710000006</v>
      </c>
      <c r="K16" s="190">
        <v>-896.7544999999991</v>
      </c>
      <c r="L16" s="190">
        <v>915929.18735999998</v>
      </c>
      <c r="M16" s="190">
        <v>15674.91505</v>
      </c>
      <c r="N16" s="190">
        <v>900254.27231000003</v>
      </c>
      <c r="O16" s="190">
        <v>415576.75971000001</v>
      </c>
      <c r="P16" s="190">
        <v>484677.51260000002</v>
      </c>
      <c r="Q16" s="196">
        <v>100.20992117922844</v>
      </c>
      <c r="R16" s="196">
        <v>113.94789049747705</v>
      </c>
      <c r="S16" s="190">
        <v>100.00000000000001</v>
      </c>
      <c r="T16" s="190">
        <v>100</v>
      </c>
      <c r="U16" s="190">
        <v>100</v>
      </c>
      <c r="V16" s="190">
        <v>1009702.0887699999</v>
      </c>
      <c r="W16" s="190">
        <v>13568.0838</v>
      </c>
      <c r="X16" s="190">
        <v>996134.00496999989</v>
      </c>
      <c r="Y16" s="190">
        <v>468661.46720999997</v>
      </c>
      <c r="Z16" s="190">
        <v>487972.53775999998</v>
      </c>
      <c r="AA16" s="190">
        <v>86.340434456862027</v>
      </c>
      <c r="AB16" s="196">
        <v>71.825139968946104</v>
      </c>
      <c r="AC16" s="190">
        <v>86.578754987938595</v>
      </c>
      <c r="AD16" s="190">
        <v>78.875287157405381</v>
      </c>
      <c r="AE16" s="191">
        <v>94.408757930151793</v>
      </c>
    </row>
    <row r="17" spans="1:31" s="228" customFormat="1" x14ac:dyDescent="0.25">
      <c r="A17" s="230" t="s">
        <v>375</v>
      </c>
      <c r="B17" s="190">
        <v>398813.87283999997</v>
      </c>
      <c r="C17" s="190">
        <v>40366.41489</v>
      </c>
      <c r="D17" s="190">
        <v>358447.45794999995</v>
      </c>
      <c r="E17" s="190">
        <v>259879.88399999999</v>
      </c>
      <c r="F17" s="190">
        <v>93925.907279999999</v>
      </c>
      <c r="G17" s="190">
        <v>106188.65159999998</v>
      </c>
      <c r="H17" s="190">
        <v>12470.276519999999</v>
      </c>
      <c r="I17" s="190">
        <v>93718.375079999969</v>
      </c>
      <c r="J17" s="190">
        <v>42893.908319999988</v>
      </c>
      <c r="K17" s="190">
        <v>46182.800089999997</v>
      </c>
      <c r="L17" s="190">
        <v>5851050.5913199997</v>
      </c>
      <c r="M17" s="190">
        <v>276212.03042000002</v>
      </c>
      <c r="N17" s="190">
        <v>5574838.5608999999</v>
      </c>
      <c r="O17" s="190">
        <v>1055920.00774</v>
      </c>
      <c r="P17" s="190">
        <v>4460918.5531599997</v>
      </c>
      <c r="Q17" s="190">
        <v>99.419822819022642</v>
      </c>
      <c r="R17" s="190">
        <v>94.25795199353081</v>
      </c>
      <c r="S17" s="190">
        <v>99.690313551450799</v>
      </c>
      <c r="T17" s="196">
        <v>98.386364538888472</v>
      </c>
      <c r="U17" s="190">
        <v>99.999999999999986</v>
      </c>
      <c r="V17" s="190">
        <v>5732368.2891700007</v>
      </c>
      <c r="W17" s="190">
        <v>263440.23207999999</v>
      </c>
      <c r="X17" s="190">
        <v>5468928.0570900002</v>
      </c>
      <c r="Y17" s="190">
        <v>1007114.56469</v>
      </c>
      <c r="Z17" s="190">
        <v>4408455.1590700001</v>
      </c>
      <c r="AA17" s="190">
        <v>93.538529945607905</v>
      </c>
      <c r="AB17" s="190">
        <v>83.963730900411505</v>
      </c>
      <c r="AC17" s="190">
        <v>94.055184867562019</v>
      </c>
      <c r="AD17" s="190">
        <v>80.155337379530181</v>
      </c>
      <c r="AE17" s="191">
        <v>97.962590890536291</v>
      </c>
    </row>
    <row r="18" spans="1:31" s="228" customFormat="1" x14ac:dyDescent="0.25">
      <c r="A18" s="230" t="s">
        <v>376</v>
      </c>
      <c r="B18" s="190">
        <v>7151.6014699999996</v>
      </c>
      <c r="C18" s="190">
        <v>7151.6014699999996</v>
      </c>
      <c r="D18" s="190">
        <v>0</v>
      </c>
      <c r="E18" s="190">
        <v>0</v>
      </c>
      <c r="F18" s="190">
        <v>0</v>
      </c>
      <c r="G18" s="190">
        <v>2373.8999099999992</v>
      </c>
      <c r="H18" s="190">
        <v>2373.8999099999992</v>
      </c>
      <c r="I18" s="190">
        <v>0</v>
      </c>
      <c r="J18" s="190">
        <v>0</v>
      </c>
      <c r="K18" s="190">
        <v>0</v>
      </c>
      <c r="L18" s="190">
        <v>26553.099559999999</v>
      </c>
      <c r="M18" s="190">
        <v>22511.99483</v>
      </c>
      <c r="N18" s="190">
        <v>4041.10473</v>
      </c>
      <c r="O18" s="190">
        <v>3427.3047299999998</v>
      </c>
      <c r="P18" s="190">
        <v>613.79999999999995</v>
      </c>
      <c r="Q18" s="190">
        <v>100</v>
      </c>
      <c r="R18" s="190">
        <v>100</v>
      </c>
      <c r="S18" s="190">
        <v>100</v>
      </c>
      <c r="T18" s="190">
        <v>99.999999999999986</v>
      </c>
      <c r="U18" s="190">
        <v>100</v>
      </c>
      <c r="V18" s="190">
        <v>24179.199649999999</v>
      </c>
      <c r="W18" s="190">
        <v>20138.09492</v>
      </c>
      <c r="X18" s="190">
        <v>4041.10473</v>
      </c>
      <c r="Y18" s="190">
        <v>3427.3047299999998</v>
      </c>
      <c r="Z18" s="190">
        <v>613.79999999999995</v>
      </c>
      <c r="AA18" s="190">
        <v>100</v>
      </c>
      <c r="AB18" s="190">
        <v>100</v>
      </c>
      <c r="AC18" s="190">
        <v>100</v>
      </c>
      <c r="AD18" s="190">
        <v>99.999999999999986</v>
      </c>
      <c r="AE18" s="191">
        <v>100</v>
      </c>
    </row>
    <row r="19" spans="1:31" s="228" customFormat="1" x14ac:dyDescent="0.25">
      <c r="A19" s="230" t="s">
        <v>377</v>
      </c>
      <c r="B19" s="190">
        <v>33999.9755</v>
      </c>
      <c r="C19" s="190">
        <v>1363.92968</v>
      </c>
      <c r="D19" s="190">
        <v>32636.045819999999</v>
      </c>
      <c r="E19" s="190">
        <v>12136.67798</v>
      </c>
      <c r="F19" s="190">
        <v>20499.367839999999</v>
      </c>
      <c r="G19" s="190">
        <v>3914.3691399999989</v>
      </c>
      <c r="H19" s="190">
        <v>-1878.9594500000001</v>
      </c>
      <c r="I19" s="190">
        <v>5793.3285899999973</v>
      </c>
      <c r="J19" s="190">
        <v>2506.5340500000002</v>
      </c>
      <c r="K19" s="190">
        <v>3286.794539999999</v>
      </c>
      <c r="L19" s="190">
        <v>228114.18225999997</v>
      </c>
      <c r="M19" s="190">
        <v>10311.71824</v>
      </c>
      <c r="N19" s="190">
        <v>217802.46401999998</v>
      </c>
      <c r="O19" s="190">
        <v>149270.68599999999</v>
      </c>
      <c r="P19" s="190">
        <v>68531.778019999998</v>
      </c>
      <c r="Q19" s="190">
        <v>100</v>
      </c>
      <c r="R19" s="190">
        <v>100</v>
      </c>
      <c r="S19" s="190">
        <v>100</v>
      </c>
      <c r="T19" s="190">
        <v>100</v>
      </c>
      <c r="U19" s="190">
        <v>100</v>
      </c>
      <c r="V19" s="190">
        <v>211166.29614999998</v>
      </c>
      <c r="W19" s="190">
        <v>12190.67769</v>
      </c>
      <c r="X19" s="190">
        <v>198975.61845999997</v>
      </c>
      <c r="Y19" s="190">
        <v>142941.92335999999</v>
      </c>
      <c r="Z19" s="190">
        <v>56033.695099999997</v>
      </c>
      <c r="AA19" s="190">
        <v>86.131870721377823</v>
      </c>
      <c r="AB19" s="190">
        <v>89.937519820612863</v>
      </c>
      <c r="AC19" s="190">
        <v>85.909152752969433</v>
      </c>
      <c r="AD19" s="190">
        <v>92.173853855316167</v>
      </c>
      <c r="AE19" s="198">
        <v>73.215017075599093</v>
      </c>
    </row>
    <row r="20" spans="1:31" s="228" customFormat="1" x14ac:dyDescent="0.25">
      <c r="A20" s="230" t="s">
        <v>378</v>
      </c>
      <c r="B20" s="190">
        <v>308342.17402999999</v>
      </c>
      <c r="C20" s="190">
        <v>21530.578649999999</v>
      </c>
      <c r="D20" s="190">
        <v>286811.59538000001</v>
      </c>
      <c r="E20" s="190">
        <v>263334.44562000001</v>
      </c>
      <c r="F20" s="190">
        <v>23477.14976</v>
      </c>
      <c r="G20" s="190">
        <v>52936.960829999996</v>
      </c>
      <c r="H20" s="190">
        <v>-11889.156149999999</v>
      </c>
      <c r="I20" s="190">
        <v>64826.116980000021</v>
      </c>
      <c r="J20" s="190">
        <v>62878.600380000018</v>
      </c>
      <c r="K20" s="190">
        <v>1947.516599999999</v>
      </c>
      <c r="L20" s="190">
        <v>3692037.3595799999</v>
      </c>
      <c r="M20" s="190">
        <v>581821.28533999994</v>
      </c>
      <c r="N20" s="190">
        <v>3110216.07424</v>
      </c>
      <c r="O20" s="190">
        <v>653130.39535000001</v>
      </c>
      <c r="P20" s="190">
        <v>2457085.6788900001</v>
      </c>
      <c r="Q20" s="190">
        <v>99.405024822667443</v>
      </c>
      <c r="R20" s="190">
        <v>96.340872311271738</v>
      </c>
      <c r="S20" s="190">
        <v>100</v>
      </c>
      <c r="T20" s="190">
        <v>100</v>
      </c>
      <c r="U20" s="190">
        <v>100</v>
      </c>
      <c r="V20" s="190">
        <v>3630080.1301600002</v>
      </c>
      <c r="W20" s="190">
        <v>594091.93737000006</v>
      </c>
      <c r="X20" s="190">
        <v>3035988.1927900002</v>
      </c>
      <c r="Y20" s="190">
        <v>580642.21380999999</v>
      </c>
      <c r="Z20" s="190">
        <v>2455345.9789800001</v>
      </c>
      <c r="AA20" s="190">
        <v>91.618965587756719</v>
      </c>
      <c r="AB20" s="190">
        <v>93.216758740068826</v>
      </c>
      <c r="AC20" s="190">
        <v>91.31269077817187</v>
      </c>
      <c r="AD20" s="190">
        <v>68.633358105811823</v>
      </c>
      <c r="AE20" s="191">
        <v>99.053004941664113</v>
      </c>
    </row>
    <row r="21" spans="1:31" s="228" customFormat="1" x14ac:dyDescent="0.25">
      <c r="A21" s="230" t="s">
        <v>379</v>
      </c>
      <c r="B21" s="190">
        <v>16391.023069999999</v>
      </c>
      <c r="C21" s="190">
        <v>16391.023069999999</v>
      </c>
      <c r="D21" s="190">
        <v>0</v>
      </c>
      <c r="E21" s="190">
        <v>0</v>
      </c>
      <c r="F21" s="190">
        <v>0</v>
      </c>
      <c r="G21" s="190">
        <v>537.02895999999964</v>
      </c>
      <c r="H21" s="190">
        <v>537.02895999999964</v>
      </c>
      <c r="I21" s="190">
        <v>0</v>
      </c>
      <c r="J21" s="190">
        <v>0</v>
      </c>
      <c r="K21" s="190">
        <v>0</v>
      </c>
      <c r="L21" s="190">
        <v>89018.741699999999</v>
      </c>
      <c r="M21" s="190">
        <v>30686.411250000001</v>
      </c>
      <c r="N21" s="190">
        <v>58332.330450000001</v>
      </c>
      <c r="O21" s="190">
        <v>232.33045000000001</v>
      </c>
      <c r="P21" s="190">
        <v>58100</v>
      </c>
      <c r="Q21" s="190">
        <v>100</v>
      </c>
      <c r="R21" s="190">
        <v>99.999999999999986</v>
      </c>
      <c r="S21" s="190">
        <v>99.999999999999986</v>
      </c>
      <c r="T21" s="190">
        <v>99.999999999999986</v>
      </c>
      <c r="U21" s="190">
        <v>100</v>
      </c>
      <c r="V21" s="190">
        <v>88481.893550000008</v>
      </c>
      <c r="W21" s="190">
        <v>30149.563099999999</v>
      </c>
      <c r="X21" s="190">
        <v>58332.330450000001</v>
      </c>
      <c r="Y21" s="190">
        <v>232.33045000000001</v>
      </c>
      <c r="Z21" s="190">
        <v>58100</v>
      </c>
      <c r="AA21" s="190">
        <v>84.370585277615788</v>
      </c>
      <c r="AB21" s="196">
        <v>64.78122770063942</v>
      </c>
      <c r="AC21" s="190">
        <v>99.999999999999986</v>
      </c>
      <c r="AD21" s="190">
        <v>99.999999999999986</v>
      </c>
      <c r="AE21" s="191">
        <v>100</v>
      </c>
    </row>
    <row r="22" spans="1:31" s="228" customFormat="1" x14ac:dyDescent="0.25">
      <c r="A22" s="230" t="s">
        <v>380</v>
      </c>
      <c r="B22" s="190">
        <v>30809.21832</v>
      </c>
      <c r="C22" s="190">
        <v>1796.0934500000001</v>
      </c>
      <c r="D22" s="190">
        <v>29013.12487</v>
      </c>
      <c r="E22" s="190">
        <v>15830.787549999999</v>
      </c>
      <c r="F22" s="190">
        <v>13182.337320000001</v>
      </c>
      <c r="G22" s="190">
        <v>-112826.75784000002</v>
      </c>
      <c r="H22" s="190">
        <v>800.59432000000004</v>
      </c>
      <c r="I22" s="190">
        <v>-113627.35216000001</v>
      </c>
      <c r="J22" s="190">
        <v>-123923.91274000001</v>
      </c>
      <c r="K22" s="190">
        <v>10296.560580000001</v>
      </c>
      <c r="L22" s="190">
        <v>263333.62698</v>
      </c>
      <c r="M22" s="190">
        <v>11128.59798</v>
      </c>
      <c r="N22" s="190">
        <v>252205.02899999998</v>
      </c>
      <c r="O22" s="190">
        <v>52762.017999999996</v>
      </c>
      <c r="P22" s="190">
        <v>199443.011</v>
      </c>
      <c r="Q22" s="196">
        <v>100.16331027948971</v>
      </c>
      <c r="R22" s="196">
        <v>104.0128960387233</v>
      </c>
      <c r="S22" s="190">
        <v>100</v>
      </c>
      <c r="T22" s="190">
        <v>99.999999999999986</v>
      </c>
      <c r="U22" s="190">
        <v>100</v>
      </c>
      <c r="V22" s="190">
        <v>375889.95697000006</v>
      </c>
      <c r="W22" s="190">
        <v>10101.242480000001</v>
      </c>
      <c r="X22" s="190">
        <v>365788.71449000004</v>
      </c>
      <c r="Y22" s="190">
        <v>176642.26407</v>
      </c>
      <c r="Z22" s="190">
        <v>189146.45042000001</v>
      </c>
      <c r="AA22" s="190">
        <v>92.46069824540082</v>
      </c>
      <c r="AB22" s="190">
        <v>86.374182652290557</v>
      </c>
      <c r="AC22" s="190">
        <v>92.640971950737551</v>
      </c>
      <c r="AD22" s="190">
        <v>91.754246404674674</v>
      </c>
      <c r="AE22" s="191">
        <v>93.484695150281937</v>
      </c>
    </row>
    <row r="23" spans="1:31" s="228" customFormat="1" x14ac:dyDescent="0.25">
      <c r="A23" s="230" t="s">
        <v>381</v>
      </c>
      <c r="B23" s="190">
        <v>69928.786229999998</v>
      </c>
      <c r="C23" s="190">
        <v>2304.2780200000002</v>
      </c>
      <c r="D23" s="190">
        <v>67624.50821</v>
      </c>
      <c r="E23" s="190">
        <v>63781.224150000002</v>
      </c>
      <c r="F23" s="190">
        <v>3843.28406</v>
      </c>
      <c r="G23" s="190">
        <v>62357.231459999995</v>
      </c>
      <c r="H23" s="190">
        <v>-261.27674999999954</v>
      </c>
      <c r="I23" s="190">
        <v>62618.50821</v>
      </c>
      <c r="J23" s="190">
        <v>58775.224150000002</v>
      </c>
      <c r="K23" s="190">
        <v>3843.28406</v>
      </c>
      <c r="L23" s="190">
        <v>839654.44472999999</v>
      </c>
      <c r="M23" s="190">
        <v>115528.32629</v>
      </c>
      <c r="N23" s="190">
        <v>724126.11843999999</v>
      </c>
      <c r="O23" s="190">
        <v>257132.06804000001</v>
      </c>
      <c r="P23" s="190">
        <v>466994.05040000001</v>
      </c>
      <c r="Q23" s="190">
        <v>99.991453627495261</v>
      </c>
      <c r="R23" s="190">
        <v>99.937918622297232</v>
      </c>
      <c r="S23" s="190">
        <v>100</v>
      </c>
      <c r="T23" s="190">
        <v>100</v>
      </c>
      <c r="U23" s="190">
        <v>100</v>
      </c>
      <c r="V23" s="190">
        <v>810016.53047</v>
      </c>
      <c r="W23" s="190">
        <v>148508.92024000001</v>
      </c>
      <c r="X23" s="190">
        <v>661507.61022999999</v>
      </c>
      <c r="Y23" s="190">
        <v>198356.84388999999</v>
      </c>
      <c r="Z23" s="190">
        <v>463150.76633999997</v>
      </c>
      <c r="AA23" s="190">
        <v>92.045546191570637</v>
      </c>
      <c r="AB23" s="190">
        <v>98.425261152026707</v>
      </c>
      <c r="AC23" s="190">
        <v>90.725342293974833</v>
      </c>
      <c r="AD23" s="190">
        <v>75.668843282896418</v>
      </c>
      <c r="AE23" s="191">
        <v>99.177016483034819</v>
      </c>
    </row>
    <row r="24" spans="1:31" s="228" customFormat="1" ht="26.4" x14ac:dyDescent="0.25">
      <c r="A24" s="230" t="s">
        <v>382</v>
      </c>
      <c r="B24" s="190">
        <v>45641.82288</v>
      </c>
      <c r="C24" s="190">
        <v>11326.07165</v>
      </c>
      <c r="D24" s="190">
        <v>34315.751230000002</v>
      </c>
      <c r="E24" s="190">
        <v>32794.999040000002</v>
      </c>
      <c r="F24" s="190">
        <v>1520.7521899999999</v>
      </c>
      <c r="G24" s="190">
        <v>10148.837939999998</v>
      </c>
      <c r="H24" s="190">
        <v>1520.2926200000002</v>
      </c>
      <c r="I24" s="190">
        <v>8628.5453200000011</v>
      </c>
      <c r="J24" s="190">
        <v>7309.3001300000033</v>
      </c>
      <c r="K24" s="190">
        <v>1319.2451899999999</v>
      </c>
      <c r="L24" s="190">
        <v>571692.73182999995</v>
      </c>
      <c r="M24" s="190">
        <v>110786.31342000001</v>
      </c>
      <c r="N24" s="190">
        <v>460906.41840999998</v>
      </c>
      <c r="O24" s="190">
        <v>299287.34284</v>
      </c>
      <c r="P24" s="190">
        <v>161619.07556999999</v>
      </c>
      <c r="Q24" s="190">
        <v>100</v>
      </c>
      <c r="R24" s="190">
        <v>100</v>
      </c>
      <c r="S24" s="190">
        <v>100</v>
      </c>
      <c r="T24" s="190">
        <v>99.999999999999986</v>
      </c>
      <c r="U24" s="190">
        <v>100</v>
      </c>
      <c r="V24" s="190">
        <v>559820.41259000008</v>
      </c>
      <c r="W24" s="190">
        <v>108066.0208</v>
      </c>
      <c r="X24" s="190">
        <v>451754.39179000002</v>
      </c>
      <c r="Y24" s="190">
        <v>291454.56141000002</v>
      </c>
      <c r="Z24" s="190">
        <v>160299.83038</v>
      </c>
      <c r="AA24" s="190">
        <v>100</v>
      </c>
      <c r="AB24" s="190">
        <v>100</v>
      </c>
      <c r="AC24" s="190">
        <v>100</v>
      </c>
      <c r="AD24" s="190">
        <v>100</v>
      </c>
      <c r="AE24" s="191">
        <v>100</v>
      </c>
    </row>
    <row r="25" spans="1:31" s="228" customFormat="1" x14ac:dyDescent="0.25">
      <c r="A25" s="230" t="s">
        <v>383</v>
      </c>
      <c r="B25" s="190">
        <v>1083.9614200000001</v>
      </c>
      <c r="C25" s="190">
        <v>531.96</v>
      </c>
      <c r="D25" s="190">
        <v>552.00142000000005</v>
      </c>
      <c r="E25" s="190">
        <v>0</v>
      </c>
      <c r="F25" s="190">
        <v>552.00142000000005</v>
      </c>
      <c r="G25" s="190">
        <v>1083.9614200000001</v>
      </c>
      <c r="H25" s="190">
        <v>531.96</v>
      </c>
      <c r="I25" s="190">
        <v>552.00142000000005</v>
      </c>
      <c r="J25" s="190">
        <v>0</v>
      </c>
      <c r="K25" s="190">
        <v>552.00142000000005</v>
      </c>
      <c r="L25" s="190">
        <v>23118.903750000001</v>
      </c>
      <c r="M25" s="190">
        <v>908.38</v>
      </c>
      <c r="N25" s="190">
        <v>22210.52375</v>
      </c>
      <c r="O25" s="190">
        <v>318.20575000000002</v>
      </c>
      <c r="P25" s="190">
        <v>21892.317999999999</v>
      </c>
      <c r="Q25" s="190">
        <v>100</v>
      </c>
      <c r="R25" s="190">
        <v>100</v>
      </c>
      <c r="S25" s="190">
        <v>100</v>
      </c>
      <c r="T25" s="190">
        <v>100</v>
      </c>
      <c r="U25" s="190">
        <v>100</v>
      </c>
      <c r="V25" s="190">
        <v>22035.575389999998</v>
      </c>
      <c r="W25" s="190">
        <v>376.42</v>
      </c>
      <c r="X25" s="190">
        <v>21659.15539</v>
      </c>
      <c r="Y25" s="190">
        <v>318.20575000000002</v>
      </c>
      <c r="Z25" s="190">
        <v>21340.949639999999</v>
      </c>
      <c r="AA25" s="190">
        <v>100</v>
      </c>
      <c r="AB25" s="190">
        <v>100</v>
      </c>
      <c r="AC25" s="190">
        <v>100</v>
      </c>
      <c r="AD25" s="190">
        <v>100</v>
      </c>
      <c r="AE25" s="191">
        <v>100</v>
      </c>
    </row>
    <row r="26" spans="1:31" s="228" customFormat="1" ht="26.4" x14ac:dyDescent="0.25">
      <c r="A26" s="230" t="s">
        <v>384</v>
      </c>
      <c r="B26" s="190">
        <v>9367.14293</v>
      </c>
      <c r="C26" s="190">
        <v>9231.2828399999999</v>
      </c>
      <c r="D26" s="190">
        <v>135.86009000000001</v>
      </c>
      <c r="E26" s="190">
        <v>135.86009000000001</v>
      </c>
      <c r="F26" s="190">
        <v>0</v>
      </c>
      <c r="G26" s="190">
        <v>4257.1985699999996</v>
      </c>
      <c r="H26" s="190">
        <v>4433.1384799999996</v>
      </c>
      <c r="I26" s="190">
        <v>-175.93991</v>
      </c>
      <c r="J26" s="190">
        <v>-175.93991</v>
      </c>
      <c r="K26" s="190">
        <v>0</v>
      </c>
      <c r="L26" s="190">
        <v>343077.83487999998</v>
      </c>
      <c r="M26" s="190">
        <v>85924.682860000001</v>
      </c>
      <c r="N26" s="190">
        <v>257153.15202000001</v>
      </c>
      <c r="O26" s="190">
        <v>24089.7</v>
      </c>
      <c r="P26" s="190">
        <v>233063.45202</v>
      </c>
      <c r="Q26" s="190">
        <v>99.408290775184724</v>
      </c>
      <c r="R26" s="190">
        <v>97.678548297418985</v>
      </c>
      <c r="S26" s="190">
        <v>100</v>
      </c>
      <c r="T26" s="190">
        <v>100</v>
      </c>
      <c r="U26" s="190">
        <v>100.00000000000001</v>
      </c>
      <c r="V26" s="190">
        <v>338836.75811</v>
      </c>
      <c r="W26" s="190">
        <v>81507.66618</v>
      </c>
      <c r="X26" s="190">
        <v>257329.09193</v>
      </c>
      <c r="Y26" s="190">
        <v>24265.639910000002</v>
      </c>
      <c r="Z26" s="190">
        <v>233063.45202</v>
      </c>
      <c r="AA26" s="190">
        <v>98.91174561718276</v>
      </c>
      <c r="AB26" s="190">
        <v>95.778936722073027</v>
      </c>
      <c r="AC26" s="190">
        <v>99.947231617766192</v>
      </c>
      <c r="AD26" s="190">
        <v>99.443230580087302</v>
      </c>
      <c r="AE26" s="191">
        <v>100.00000000000001</v>
      </c>
    </row>
    <row r="27" spans="1:31" s="180" customFormat="1" ht="13.8" thickBot="1" x14ac:dyDescent="0.3">
      <c r="A27" s="241" t="s">
        <v>318</v>
      </c>
      <c r="B27" s="242">
        <v>6147808.8594500003</v>
      </c>
      <c r="C27" s="242">
        <v>2631938.2832800001</v>
      </c>
      <c r="D27" s="242">
        <v>3515870.5761700002</v>
      </c>
      <c r="E27" s="242">
        <v>2619463.7146500004</v>
      </c>
      <c r="F27" s="242">
        <v>891765.19484999997</v>
      </c>
      <c r="G27" s="242">
        <v>1228276.8208300001</v>
      </c>
      <c r="H27" s="242">
        <v>525896.0668700001</v>
      </c>
      <c r="I27" s="242">
        <v>702380.75396000023</v>
      </c>
      <c r="J27" s="242">
        <v>433547.87446000025</v>
      </c>
      <c r="K27" s="242">
        <v>308486.21282999986</v>
      </c>
      <c r="L27" s="242">
        <v>50670621.396590002</v>
      </c>
      <c r="M27" s="242">
        <v>24232172.245889999</v>
      </c>
      <c r="N27" s="242">
        <v>26438449.150699992</v>
      </c>
      <c r="O27" s="242">
        <v>11482093.513689999</v>
      </c>
      <c r="P27" s="242">
        <v>14898355.637010003</v>
      </c>
      <c r="Q27" s="242">
        <v>99.24626274767671</v>
      </c>
      <c r="R27" s="242">
        <v>98.5094730395613</v>
      </c>
      <c r="S27" s="242">
        <v>99.931314729523763</v>
      </c>
      <c r="T27" s="242">
        <v>99.841987978870847</v>
      </c>
      <c r="U27" s="242">
        <v>100</v>
      </c>
      <c r="V27" s="242">
        <v>49424971.024510004</v>
      </c>
      <c r="W27" s="242">
        <v>23758792.953389995</v>
      </c>
      <c r="X27" s="242">
        <v>25666178.071119998</v>
      </c>
      <c r="Y27" s="242">
        <v>11004823.823100001</v>
      </c>
      <c r="Z27" s="242">
        <v>14563700.914690003</v>
      </c>
      <c r="AA27" s="242">
        <v>91.047533463100592</v>
      </c>
      <c r="AB27" s="242">
        <v>92.107920676030005</v>
      </c>
      <c r="AC27" s="242">
        <v>90.087480670082854</v>
      </c>
      <c r="AD27" s="242">
        <v>84.520793437075923</v>
      </c>
      <c r="AE27" s="243">
        <v>94.768058176131944</v>
      </c>
    </row>
    <row r="28" spans="1:31" ht="13.8" thickTop="1" x14ac:dyDescent="0.25"/>
  </sheetData>
  <autoFilter ref="A10:AE27"/>
  <mergeCells count="45">
    <mergeCell ref="AC8:AC9"/>
    <mergeCell ref="AD8:AE8"/>
    <mergeCell ref="B3:K3"/>
    <mergeCell ref="J1:K1"/>
    <mergeCell ref="AD1:AE1"/>
    <mergeCell ref="S1:U1"/>
    <mergeCell ref="AB7:AE7"/>
    <mergeCell ref="E8:E9"/>
    <mergeCell ref="F8:F9"/>
    <mergeCell ref="H8:H9"/>
    <mergeCell ref="I8:I9"/>
    <mergeCell ref="J8:K8"/>
    <mergeCell ref="M8:M9"/>
    <mergeCell ref="N8:N9"/>
    <mergeCell ref="O8:P8"/>
    <mergeCell ref="R8:R9"/>
    <mergeCell ref="L7:L9"/>
    <mergeCell ref="M7:P7"/>
    <mergeCell ref="AB8:AB9"/>
    <mergeCell ref="Q7:Q9"/>
    <mergeCell ref="R7:U7"/>
    <mergeCell ref="V7:V9"/>
    <mergeCell ref="W7:Z7"/>
    <mergeCell ref="AA7:AA9"/>
    <mergeCell ref="S8:S9"/>
    <mergeCell ref="T8:U8"/>
    <mergeCell ref="W8:W9"/>
    <mergeCell ref="X8:X9"/>
    <mergeCell ref="Y8:Z8"/>
    <mergeCell ref="A5:A9"/>
    <mergeCell ref="B5:K5"/>
    <mergeCell ref="L5:U5"/>
    <mergeCell ref="V5:AE5"/>
    <mergeCell ref="B6:B9"/>
    <mergeCell ref="C6:F6"/>
    <mergeCell ref="G6:K6"/>
    <mergeCell ref="L6:P6"/>
    <mergeCell ref="Q6:U6"/>
    <mergeCell ref="V6:Z6"/>
    <mergeCell ref="AA6:AE6"/>
    <mergeCell ref="C7:C9"/>
    <mergeCell ref="D7:D9"/>
    <mergeCell ref="E7:F7"/>
    <mergeCell ref="G7:G9"/>
    <mergeCell ref="H7:K7"/>
  </mergeCells>
  <conditionalFormatting sqref="B27:Z27">
    <cfRule type="cellIs" dxfId="3" priority="2" operator="equal">
      <formula>0</formula>
    </cfRule>
  </conditionalFormatting>
  <conditionalFormatting sqref="B11:AE27">
    <cfRule type="cellIs" dxfId="2" priority="1" operator="equal">
      <formula>0</formula>
    </cfRule>
  </conditionalFormatting>
  <pageMargins left="0" right="0" top="0.55118110236220474" bottom="0.35433070866141736" header="0.31496062992125984" footer="0.11811023622047245"/>
  <pageSetup paperSize="9" fitToWidth="100" orientation="landscape" r:id="rId1"/>
  <headerFooter>
    <oddFooter>&amp;C&amp;9&amp;P</oddFooter>
  </headerFooter>
  <colBreaks count="2" manualBreakCount="2">
    <brk id="11" max="28" man="1"/>
    <brk id="21" max="2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Y42"/>
  <sheetViews>
    <sheetView zoomScaleNormal="100" workbookViewId="0">
      <pane xSplit="1" ySplit="10" topLeftCell="B11" activePane="bottomRight" state="frozen"/>
      <selection pane="topRight" activeCell="B1" sqref="B1"/>
      <selection pane="bottomLeft" activeCell="A11" sqref="A11"/>
      <selection pane="bottomRight" activeCell="C9" sqref="C9"/>
    </sheetView>
  </sheetViews>
  <sheetFormatPr defaultColWidth="9.109375" defaultRowHeight="13.2" x14ac:dyDescent="0.25"/>
  <cols>
    <col min="1" max="1" width="21.88671875" style="233" bestFit="1" customWidth="1"/>
    <col min="2" max="2" width="12.33203125" style="220" bestFit="1" customWidth="1"/>
    <col min="3" max="3" width="9.6640625" style="220" bestFit="1" customWidth="1"/>
    <col min="4" max="4" width="11" style="220" customWidth="1"/>
    <col min="5" max="5" width="9.6640625" style="220" bestFit="1" customWidth="1"/>
    <col min="6" max="6" width="12.109375" style="220" customWidth="1"/>
    <col min="7" max="7" width="9.6640625" style="220" bestFit="1" customWidth="1"/>
    <col min="8" max="8" width="12.33203125" style="220" bestFit="1" customWidth="1"/>
    <col min="9" max="9" width="9.6640625" style="220" bestFit="1" customWidth="1"/>
    <col min="10" max="10" width="9.88671875" style="220" customWidth="1"/>
    <col min="11" max="11" width="9.109375" style="220"/>
    <col min="12" max="12" width="12.109375" style="220" customWidth="1"/>
    <col min="13" max="13" width="9.6640625" style="220" bestFit="1" customWidth="1"/>
    <col min="14" max="14" width="11.33203125" style="220" bestFit="1" customWidth="1"/>
    <col min="15" max="15" width="9.6640625" style="220" bestFit="1" customWidth="1"/>
    <col min="16" max="16" width="11.6640625" style="220" customWidth="1"/>
    <col min="17" max="17" width="9.6640625" style="220" customWidth="1"/>
    <col min="18" max="18" width="11.33203125" style="220" customWidth="1"/>
    <col min="19" max="19" width="9.6640625" style="220" bestFit="1" customWidth="1"/>
    <col min="20" max="20" width="11.33203125" style="220" bestFit="1" customWidth="1"/>
    <col min="21" max="21" width="10.88671875" style="220" customWidth="1"/>
    <col min="22" max="22" width="11.44140625" style="220" customWidth="1"/>
    <col min="23" max="25" width="11" style="220" customWidth="1"/>
    <col min="26" max="16384" width="9.109375" style="220"/>
  </cols>
  <sheetData>
    <row r="1" spans="1:25" s="219" customFormat="1" ht="12.75" customHeight="1" x14ac:dyDescent="0.25">
      <c r="L1" s="229"/>
      <c r="M1" s="724" t="s">
        <v>2471</v>
      </c>
      <c r="V1" s="229"/>
      <c r="W1" s="229"/>
      <c r="X1" s="1191" t="s">
        <v>2471</v>
      </c>
      <c r="Y1" s="1191"/>
    </row>
    <row r="2" spans="1:25" s="229" customFormat="1" x14ac:dyDescent="0.25">
      <c r="U2" s="237"/>
      <c r="V2" s="237"/>
      <c r="W2" s="237"/>
      <c r="X2" s="237"/>
      <c r="Y2" s="237"/>
    </row>
    <row r="3" spans="1:25" s="219" customFormat="1" ht="36" customHeight="1" x14ac:dyDescent="0.25">
      <c r="B3" s="1012" t="s">
        <v>2472</v>
      </c>
      <c r="C3" s="1012"/>
      <c r="D3" s="1012"/>
      <c r="E3" s="1012"/>
      <c r="F3" s="1012"/>
      <c r="G3" s="1012"/>
      <c r="H3" s="1012"/>
      <c r="I3" s="1012"/>
      <c r="J3" s="1012"/>
      <c r="K3" s="1012"/>
      <c r="L3" s="1012"/>
      <c r="M3" s="1012"/>
      <c r="N3" s="279"/>
      <c r="O3" s="279"/>
      <c r="P3" s="279"/>
      <c r="Q3" s="279"/>
      <c r="R3" s="279"/>
      <c r="S3" s="279"/>
      <c r="T3" s="279"/>
      <c r="U3" s="279"/>
      <c r="V3" s="279"/>
      <c r="W3" s="279"/>
      <c r="X3" s="279"/>
      <c r="Y3" s="279"/>
    </row>
    <row r="4" spans="1:25" s="219" customFormat="1" ht="13.8" thickBot="1" x14ac:dyDescent="0.3">
      <c r="M4" s="722" t="s">
        <v>180</v>
      </c>
      <c r="X4" s="285"/>
      <c r="Y4" s="722" t="s">
        <v>180</v>
      </c>
    </row>
    <row r="5" spans="1:25" s="227" customFormat="1" ht="13.5" customHeight="1" thickTop="1" x14ac:dyDescent="0.25">
      <c r="A5" s="1175" t="s">
        <v>311</v>
      </c>
      <c r="B5" s="1013" t="s">
        <v>319</v>
      </c>
      <c r="C5" s="1013"/>
      <c r="D5" s="1013"/>
      <c r="E5" s="1013"/>
      <c r="F5" s="1013"/>
      <c r="G5" s="1013"/>
      <c r="H5" s="1013"/>
      <c r="I5" s="1013"/>
      <c r="J5" s="1013"/>
      <c r="K5" s="1013"/>
      <c r="L5" s="1013"/>
      <c r="M5" s="1013"/>
      <c r="N5" s="1013" t="s">
        <v>320</v>
      </c>
      <c r="O5" s="1013"/>
      <c r="P5" s="1013"/>
      <c r="Q5" s="1013"/>
      <c r="R5" s="1013"/>
      <c r="S5" s="1013"/>
      <c r="T5" s="1013"/>
      <c r="U5" s="1013"/>
      <c r="V5" s="1013"/>
      <c r="W5" s="1013"/>
      <c r="X5" s="1013"/>
      <c r="Y5" s="1014"/>
    </row>
    <row r="6" spans="1:25" s="227" customFormat="1" ht="12.75" customHeight="1" x14ac:dyDescent="0.25">
      <c r="A6" s="1176"/>
      <c r="B6" s="1009" t="s">
        <v>628</v>
      </c>
      <c r="C6" s="1009"/>
      <c r="D6" s="1009"/>
      <c r="E6" s="1009"/>
      <c r="F6" s="1009"/>
      <c r="G6" s="1009"/>
      <c r="H6" s="1009" t="s">
        <v>631</v>
      </c>
      <c r="I6" s="1009"/>
      <c r="J6" s="1009"/>
      <c r="K6" s="1009"/>
      <c r="L6" s="1009"/>
      <c r="M6" s="1009"/>
      <c r="N6" s="1009" t="s">
        <v>628</v>
      </c>
      <c r="O6" s="1009"/>
      <c r="P6" s="1009"/>
      <c r="Q6" s="1009"/>
      <c r="R6" s="1009"/>
      <c r="S6" s="1009"/>
      <c r="T6" s="1009" t="s">
        <v>632</v>
      </c>
      <c r="U6" s="1009"/>
      <c r="V6" s="1009"/>
      <c r="W6" s="1009"/>
      <c r="X6" s="1009"/>
      <c r="Y6" s="1009"/>
    </row>
    <row r="7" spans="1:25" s="227" customFormat="1" ht="12.75" customHeight="1" x14ac:dyDescent="0.25">
      <c r="A7" s="1176"/>
      <c r="B7" s="1009" t="s">
        <v>321</v>
      </c>
      <c r="C7" s="1009" t="s">
        <v>9</v>
      </c>
      <c r="D7" s="1009" t="s">
        <v>322</v>
      </c>
      <c r="E7" s="1009"/>
      <c r="F7" s="1009"/>
      <c r="G7" s="1009"/>
      <c r="H7" s="1009" t="s">
        <v>321</v>
      </c>
      <c r="I7" s="1009" t="s">
        <v>135</v>
      </c>
      <c r="J7" s="1009" t="s">
        <v>322</v>
      </c>
      <c r="K7" s="1009"/>
      <c r="L7" s="1009"/>
      <c r="M7" s="1009"/>
      <c r="N7" s="1009" t="s">
        <v>321</v>
      </c>
      <c r="O7" s="1009" t="s">
        <v>135</v>
      </c>
      <c r="P7" s="1009" t="s">
        <v>322</v>
      </c>
      <c r="Q7" s="1009"/>
      <c r="R7" s="1009"/>
      <c r="S7" s="1009"/>
      <c r="T7" s="1009" t="s">
        <v>321</v>
      </c>
      <c r="U7" s="1009" t="s">
        <v>135</v>
      </c>
      <c r="V7" s="1009" t="s">
        <v>322</v>
      </c>
      <c r="W7" s="1009"/>
      <c r="X7" s="1009"/>
      <c r="Y7" s="1010"/>
    </row>
    <row r="8" spans="1:25" s="227" customFormat="1" ht="12.75" customHeight="1" x14ac:dyDescent="0.25">
      <c r="A8" s="1176"/>
      <c r="B8" s="1009"/>
      <c r="C8" s="1009"/>
      <c r="D8" s="1009" t="s">
        <v>386</v>
      </c>
      <c r="E8" s="297" t="s">
        <v>135</v>
      </c>
      <c r="F8" s="1009" t="s">
        <v>385</v>
      </c>
      <c r="G8" s="297" t="s">
        <v>135</v>
      </c>
      <c r="H8" s="1009"/>
      <c r="I8" s="1009"/>
      <c r="J8" s="1009" t="s">
        <v>386</v>
      </c>
      <c r="K8" s="297" t="s">
        <v>135</v>
      </c>
      <c r="L8" s="1009" t="s">
        <v>323</v>
      </c>
      <c r="M8" s="297" t="s">
        <v>135</v>
      </c>
      <c r="N8" s="1009"/>
      <c r="O8" s="1009"/>
      <c r="P8" s="1009" t="s">
        <v>386</v>
      </c>
      <c r="Q8" s="297" t="s">
        <v>135</v>
      </c>
      <c r="R8" s="1009" t="s">
        <v>323</v>
      </c>
      <c r="S8" s="297" t="s">
        <v>135</v>
      </c>
      <c r="T8" s="1009"/>
      <c r="U8" s="1009"/>
      <c r="V8" s="1009" t="s">
        <v>386</v>
      </c>
      <c r="W8" s="297" t="s">
        <v>135</v>
      </c>
      <c r="X8" s="1009" t="s">
        <v>323</v>
      </c>
      <c r="Y8" s="298" t="s">
        <v>135</v>
      </c>
    </row>
    <row r="9" spans="1:25" s="227" customFormat="1" ht="26.4" x14ac:dyDescent="0.25">
      <c r="A9" s="1176"/>
      <c r="B9" s="1009"/>
      <c r="C9" s="297" t="s">
        <v>324</v>
      </c>
      <c r="D9" s="1009"/>
      <c r="E9" s="297" t="s">
        <v>324</v>
      </c>
      <c r="F9" s="1009"/>
      <c r="G9" s="297" t="s">
        <v>324</v>
      </c>
      <c r="H9" s="1009"/>
      <c r="I9" s="297" t="s">
        <v>324</v>
      </c>
      <c r="J9" s="1009"/>
      <c r="K9" s="297" t="s">
        <v>324</v>
      </c>
      <c r="L9" s="1009"/>
      <c r="M9" s="297" t="s">
        <v>324</v>
      </c>
      <c r="N9" s="1009"/>
      <c r="O9" s="297" t="s">
        <v>324</v>
      </c>
      <c r="P9" s="1009"/>
      <c r="Q9" s="297" t="s">
        <v>324</v>
      </c>
      <c r="R9" s="1009"/>
      <c r="S9" s="297" t="s">
        <v>324</v>
      </c>
      <c r="T9" s="1009"/>
      <c r="U9" s="297" t="s">
        <v>324</v>
      </c>
      <c r="V9" s="1009"/>
      <c r="W9" s="297" t="s">
        <v>324</v>
      </c>
      <c r="X9" s="1009"/>
      <c r="Y9" s="298" t="s">
        <v>324</v>
      </c>
    </row>
    <row r="10" spans="1:25" s="203" customFormat="1" ht="10.199999999999999" x14ac:dyDescent="0.25">
      <c r="A10" s="202">
        <v>1</v>
      </c>
      <c r="B10" s="200">
        <v>2</v>
      </c>
      <c r="C10" s="200">
        <v>3</v>
      </c>
      <c r="D10" s="200">
        <v>4</v>
      </c>
      <c r="E10" s="200">
        <v>5</v>
      </c>
      <c r="F10" s="200">
        <v>6</v>
      </c>
      <c r="G10" s="200">
        <v>7</v>
      </c>
      <c r="H10" s="200">
        <v>8</v>
      </c>
      <c r="I10" s="200">
        <v>9</v>
      </c>
      <c r="J10" s="200">
        <v>10</v>
      </c>
      <c r="K10" s="200">
        <v>11</v>
      </c>
      <c r="L10" s="200">
        <v>12</v>
      </c>
      <c r="M10" s="200">
        <v>13</v>
      </c>
      <c r="N10" s="200">
        <v>14</v>
      </c>
      <c r="O10" s="200">
        <v>15</v>
      </c>
      <c r="P10" s="200">
        <v>16</v>
      </c>
      <c r="Q10" s="200">
        <v>17</v>
      </c>
      <c r="R10" s="200">
        <v>18</v>
      </c>
      <c r="S10" s="200">
        <v>19</v>
      </c>
      <c r="T10" s="200">
        <v>20</v>
      </c>
      <c r="U10" s="200">
        <v>21</v>
      </c>
      <c r="V10" s="200">
        <v>22</v>
      </c>
      <c r="W10" s="200">
        <v>23</v>
      </c>
      <c r="X10" s="200">
        <v>24</v>
      </c>
      <c r="Y10" s="201">
        <v>25</v>
      </c>
    </row>
    <row r="11" spans="1:25" x14ac:dyDescent="0.25">
      <c r="A11" s="221" t="s">
        <v>152</v>
      </c>
      <c r="B11" s="222">
        <v>35200.66519</v>
      </c>
      <c r="C11" s="222">
        <v>0</v>
      </c>
      <c r="D11" s="222">
        <v>32487.69814</v>
      </c>
      <c r="E11" s="222">
        <v>0</v>
      </c>
      <c r="F11" s="222">
        <v>2712.9670500000002</v>
      </c>
      <c r="G11" s="222">
        <v>0</v>
      </c>
      <c r="H11" s="222">
        <v>-3794.6574299999993</v>
      </c>
      <c r="I11" s="222">
        <v>0</v>
      </c>
      <c r="J11" s="222">
        <v>-3915.402399999999</v>
      </c>
      <c r="K11" s="222">
        <v>0</v>
      </c>
      <c r="L11" s="222">
        <v>120.74497000000019</v>
      </c>
      <c r="M11" s="222">
        <v>0</v>
      </c>
      <c r="N11" s="222">
        <v>32411.842240000002</v>
      </c>
      <c r="O11" s="222">
        <v>289.47000000000003</v>
      </c>
      <c r="P11" s="222">
        <v>5771.0653599999996</v>
      </c>
      <c r="Q11" s="222">
        <v>289.47000000000003</v>
      </c>
      <c r="R11" s="222">
        <v>26640.776880000001</v>
      </c>
      <c r="S11" s="222">
        <v>0</v>
      </c>
      <c r="T11" s="222">
        <v>-2229.6024799999977</v>
      </c>
      <c r="U11" s="222">
        <v>-1184.2652799999998</v>
      </c>
      <c r="V11" s="222">
        <v>-4860.0248700000002</v>
      </c>
      <c r="W11" s="222">
        <v>-921.8137999999999</v>
      </c>
      <c r="X11" s="222">
        <v>2630.4223899999997</v>
      </c>
      <c r="Y11" s="223">
        <v>-262.45148</v>
      </c>
    </row>
    <row r="12" spans="1:25" x14ac:dyDescent="0.25">
      <c r="A12" s="221" t="s">
        <v>153</v>
      </c>
      <c r="B12" s="222">
        <v>2966.8535099999999</v>
      </c>
      <c r="C12" s="222">
        <v>329.47474999999997</v>
      </c>
      <c r="D12" s="222">
        <v>1181.89807</v>
      </c>
      <c r="E12" s="222">
        <v>329.47474999999997</v>
      </c>
      <c r="F12" s="222">
        <v>1784.95544</v>
      </c>
      <c r="G12" s="222">
        <v>0</v>
      </c>
      <c r="H12" s="222">
        <v>408.9700899999998</v>
      </c>
      <c r="I12" s="222">
        <v>0</v>
      </c>
      <c r="J12" s="222">
        <v>-614.64510999999993</v>
      </c>
      <c r="K12" s="222">
        <v>0</v>
      </c>
      <c r="L12" s="222">
        <v>1023.6152</v>
      </c>
      <c r="M12" s="222">
        <v>0</v>
      </c>
      <c r="N12" s="222">
        <v>2266.0285699999999</v>
      </c>
      <c r="O12" s="222">
        <v>0</v>
      </c>
      <c r="P12" s="222">
        <v>751.01469999999995</v>
      </c>
      <c r="Q12" s="222">
        <v>0</v>
      </c>
      <c r="R12" s="222">
        <v>1515.01387</v>
      </c>
      <c r="S12" s="222">
        <v>0</v>
      </c>
      <c r="T12" s="222">
        <v>-5279.3185300000005</v>
      </c>
      <c r="U12" s="222">
        <v>0</v>
      </c>
      <c r="V12" s="222">
        <v>-1067.6608200000001</v>
      </c>
      <c r="W12" s="222">
        <v>0</v>
      </c>
      <c r="X12" s="222">
        <v>-4211.6577100000004</v>
      </c>
      <c r="Y12" s="223">
        <v>0</v>
      </c>
    </row>
    <row r="13" spans="1:25" x14ac:dyDescent="0.25">
      <c r="A13" s="221" t="s">
        <v>154</v>
      </c>
      <c r="B13" s="222">
        <v>6446.66453</v>
      </c>
      <c r="C13" s="222">
        <v>0</v>
      </c>
      <c r="D13" s="222">
        <v>4461.0469000000003</v>
      </c>
      <c r="E13" s="222">
        <v>0</v>
      </c>
      <c r="F13" s="222">
        <v>1985.61763</v>
      </c>
      <c r="G13" s="222">
        <v>0</v>
      </c>
      <c r="H13" s="222">
        <v>1268.0559899999998</v>
      </c>
      <c r="I13" s="222">
        <v>0</v>
      </c>
      <c r="J13" s="222">
        <v>1374.4549200000001</v>
      </c>
      <c r="K13" s="222">
        <v>0</v>
      </c>
      <c r="L13" s="222">
        <v>-106.39893000000006</v>
      </c>
      <c r="M13" s="222">
        <v>0</v>
      </c>
      <c r="N13" s="222">
        <v>8102.3002500000002</v>
      </c>
      <c r="O13" s="222">
        <v>0</v>
      </c>
      <c r="P13" s="222">
        <v>3247.98414</v>
      </c>
      <c r="Q13" s="222">
        <v>0</v>
      </c>
      <c r="R13" s="222">
        <v>4854.3161099999998</v>
      </c>
      <c r="S13" s="222">
        <v>0</v>
      </c>
      <c r="T13" s="222">
        <v>-117.76598999999987</v>
      </c>
      <c r="U13" s="222">
        <v>0</v>
      </c>
      <c r="V13" s="222">
        <v>2012.6034500000001</v>
      </c>
      <c r="W13" s="222">
        <v>0</v>
      </c>
      <c r="X13" s="222">
        <v>-2130.3694399999995</v>
      </c>
      <c r="Y13" s="223">
        <v>0</v>
      </c>
    </row>
    <row r="14" spans="1:25" x14ac:dyDescent="0.25">
      <c r="A14" s="221" t="s">
        <v>155</v>
      </c>
      <c r="B14" s="222">
        <v>12424.005140000001</v>
      </c>
      <c r="C14" s="222">
        <v>0</v>
      </c>
      <c r="D14" s="222">
        <v>543.61906999999997</v>
      </c>
      <c r="E14" s="222">
        <v>0</v>
      </c>
      <c r="F14" s="222">
        <v>11880.38607</v>
      </c>
      <c r="G14" s="222">
        <v>0</v>
      </c>
      <c r="H14" s="222">
        <v>6603.4982500000006</v>
      </c>
      <c r="I14" s="222">
        <v>0</v>
      </c>
      <c r="J14" s="222">
        <v>16.119159999999965</v>
      </c>
      <c r="K14" s="222">
        <v>0</v>
      </c>
      <c r="L14" s="222">
        <v>6587.3790900000004</v>
      </c>
      <c r="M14" s="222">
        <v>0</v>
      </c>
      <c r="N14" s="222">
        <v>4183.5529100000003</v>
      </c>
      <c r="O14" s="222">
        <v>0</v>
      </c>
      <c r="P14" s="222">
        <v>1389.5679</v>
      </c>
      <c r="Q14" s="222">
        <v>0</v>
      </c>
      <c r="R14" s="222">
        <v>2793.9850099999999</v>
      </c>
      <c r="S14" s="222">
        <v>0</v>
      </c>
      <c r="T14" s="222">
        <v>338.73854000000074</v>
      </c>
      <c r="U14" s="222">
        <v>0</v>
      </c>
      <c r="V14" s="222">
        <v>-26.26947999999993</v>
      </c>
      <c r="W14" s="222">
        <v>0</v>
      </c>
      <c r="X14" s="222">
        <v>365.00802000000022</v>
      </c>
      <c r="Y14" s="223">
        <v>0</v>
      </c>
    </row>
    <row r="15" spans="1:25" x14ac:dyDescent="0.25">
      <c r="A15" s="221" t="s">
        <v>156</v>
      </c>
      <c r="B15" s="222">
        <v>10010.76852</v>
      </c>
      <c r="C15" s="222">
        <v>0</v>
      </c>
      <c r="D15" s="222">
        <v>2019.4563700000001</v>
      </c>
      <c r="E15" s="222">
        <v>0</v>
      </c>
      <c r="F15" s="222">
        <v>7991.3121499999997</v>
      </c>
      <c r="G15" s="222">
        <v>0</v>
      </c>
      <c r="H15" s="222">
        <v>-502805.72133000003</v>
      </c>
      <c r="I15" s="222">
        <v>-18.867999999999999</v>
      </c>
      <c r="J15" s="222">
        <v>-2260.2149500000005</v>
      </c>
      <c r="K15" s="222">
        <v>-18.867999999999999</v>
      </c>
      <c r="L15" s="222">
        <v>-500545.50637999998</v>
      </c>
      <c r="M15" s="222">
        <v>0</v>
      </c>
      <c r="N15" s="222">
        <v>4499.9509400000006</v>
      </c>
      <c r="O15" s="222">
        <v>0</v>
      </c>
      <c r="P15" s="222">
        <v>1522.8692000000001</v>
      </c>
      <c r="Q15" s="222">
        <v>0</v>
      </c>
      <c r="R15" s="222">
        <v>2977.0817400000001</v>
      </c>
      <c r="S15" s="222">
        <v>0</v>
      </c>
      <c r="T15" s="222">
        <v>-1125.4470099999999</v>
      </c>
      <c r="U15" s="222">
        <v>-43.642430000000004</v>
      </c>
      <c r="V15" s="222">
        <v>49.686689999999999</v>
      </c>
      <c r="W15" s="222">
        <v>-4.3680000000000003</v>
      </c>
      <c r="X15" s="222">
        <v>-1175.1336999999999</v>
      </c>
      <c r="Y15" s="223">
        <v>-39.274430000000002</v>
      </c>
    </row>
    <row r="16" spans="1:25" x14ac:dyDescent="0.25">
      <c r="A16" s="221" t="s">
        <v>157</v>
      </c>
      <c r="B16" s="222">
        <v>3799.7255599999999</v>
      </c>
      <c r="C16" s="222">
        <v>0</v>
      </c>
      <c r="D16" s="222">
        <v>1594.60544</v>
      </c>
      <c r="E16" s="222">
        <v>0</v>
      </c>
      <c r="F16" s="222">
        <v>2205.12012</v>
      </c>
      <c r="G16" s="222">
        <v>0</v>
      </c>
      <c r="H16" s="222">
        <v>357.24902999999995</v>
      </c>
      <c r="I16" s="222">
        <v>0</v>
      </c>
      <c r="J16" s="222">
        <v>-302.15286999999989</v>
      </c>
      <c r="K16" s="222">
        <v>0</v>
      </c>
      <c r="L16" s="222">
        <v>659.40190000000007</v>
      </c>
      <c r="M16" s="222">
        <v>0</v>
      </c>
      <c r="N16" s="222">
        <v>4472.9366799999998</v>
      </c>
      <c r="O16" s="222">
        <v>0</v>
      </c>
      <c r="P16" s="222">
        <v>880.72479999999996</v>
      </c>
      <c r="Q16" s="222">
        <v>0</v>
      </c>
      <c r="R16" s="222">
        <v>3592.2118799999998</v>
      </c>
      <c r="S16" s="222">
        <v>0</v>
      </c>
      <c r="T16" s="222">
        <v>2516.2120399999999</v>
      </c>
      <c r="U16" s="222">
        <v>-268.19914</v>
      </c>
      <c r="V16" s="222">
        <v>25.227729999999951</v>
      </c>
      <c r="W16" s="222">
        <v>0</v>
      </c>
      <c r="X16" s="222">
        <v>2490.9843099999998</v>
      </c>
      <c r="Y16" s="223">
        <v>-268.19914</v>
      </c>
    </row>
    <row r="17" spans="1:25" x14ac:dyDescent="0.25">
      <c r="A17" s="221" t="s">
        <v>158</v>
      </c>
      <c r="B17" s="222">
        <v>3456.9858899999999</v>
      </c>
      <c r="C17" s="222">
        <v>1260.9002400000002</v>
      </c>
      <c r="D17" s="222">
        <v>2735.0964399999998</v>
      </c>
      <c r="E17" s="222">
        <v>1260.8985600000001</v>
      </c>
      <c r="F17" s="222">
        <v>721.88945000000001</v>
      </c>
      <c r="G17" s="222">
        <v>1.6800000000000001E-3</v>
      </c>
      <c r="H17" s="222">
        <v>-643.61037000000033</v>
      </c>
      <c r="I17" s="222">
        <v>20.916320000000269</v>
      </c>
      <c r="J17" s="222">
        <v>-578.67654000000039</v>
      </c>
      <c r="K17" s="222">
        <v>28.794530000000123</v>
      </c>
      <c r="L17" s="222">
        <v>-64.933829999999944</v>
      </c>
      <c r="M17" s="222">
        <v>-7.8782099999999993</v>
      </c>
      <c r="N17" s="222">
        <v>19070.070030000003</v>
      </c>
      <c r="O17" s="222">
        <v>129.72529</v>
      </c>
      <c r="P17" s="222">
        <v>1398.0247199999999</v>
      </c>
      <c r="Q17" s="222">
        <v>129.72529</v>
      </c>
      <c r="R17" s="222">
        <v>17672.045310000001</v>
      </c>
      <c r="S17" s="222">
        <v>0</v>
      </c>
      <c r="T17" s="222">
        <v>-15086.20132</v>
      </c>
      <c r="U17" s="222">
        <v>-5987.0450999999994</v>
      </c>
      <c r="V17" s="222">
        <v>-6786.3233700000001</v>
      </c>
      <c r="W17" s="222">
        <v>-5987.0450999999994</v>
      </c>
      <c r="X17" s="222">
        <v>-8299.8779499999982</v>
      </c>
      <c r="Y17" s="223">
        <v>0</v>
      </c>
    </row>
    <row r="18" spans="1:25" x14ac:dyDescent="0.25">
      <c r="A18" s="221" t="s">
        <v>159</v>
      </c>
      <c r="B18" s="222">
        <v>429572.34927999997</v>
      </c>
      <c r="C18" s="222">
        <v>0</v>
      </c>
      <c r="D18" s="222">
        <v>298.96915000000001</v>
      </c>
      <c r="E18" s="222">
        <v>0</v>
      </c>
      <c r="F18" s="222">
        <v>429273.38012999995</v>
      </c>
      <c r="G18" s="222">
        <v>0</v>
      </c>
      <c r="H18" s="222">
        <v>427856.13357999997</v>
      </c>
      <c r="I18" s="222">
        <v>0</v>
      </c>
      <c r="J18" s="222">
        <v>65.678760000000011</v>
      </c>
      <c r="K18" s="222">
        <v>0</v>
      </c>
      <c r="L18" s="222">
        <v>427790.45481999993</v>
      </c>
      <c r="M18" s="222">
        <v>0</v>
      </c>
      <c r="N18" s="222">
        <v>4759.3270499999999</v>
      </c>
      <c r="O18" s="222">
        <v>0</v>
      </c>
      <c r="P18" s="222">
        <v>267.83262999999999</v>
      </c>
      <c r="Q18" s="222">
        <v>0</v>
      </c>
      <c r="R18" s="222">
        <v>4491.49442</v>
      </c>
      <c r="S18" s="222">
        <v>0</v>
      </c>
      <c r="T18" s="222">
        <v>3895.38573</v>
      </c>
      <c r="U18" s="222">
        <v>0</v>
      </c>
      <c r="V18" s="222">
        <v>-35.195190000000025</v>
      </c>
      <c r="W18" s="222">
        <v>0</v>
      </c>
      <c r="X18" s="222">
        <v>3930.5809199999999</v>
      </c>
      <c r="Y18" s="223">
        <v>0</v>
      </c>
    </row>
    <row r="19" spans="1:25" x14ac:dyDescent="0.25">
      <c r="A19" s="221" t="s">
        <v>160</v>
      </c>
      <c r="B19" s="222">
        <v>3661.3878100000002</v>
      </c>
      <c r="C19" s="222">
        <v>0</v>
      </c>
      <c r="D19" s="222">
        <v>1220.0349699999999</v>
      </c>
      <c r="E19" s="222">
        <v>0</v>
      </c>
      <c r="F19" s="222">
        <v>2441.35284</v>
      </c>
      <c r="G19" s="222">
        <v>0</v>
      </c>
      <c r="H19" s="222">
        <v>1962.9626000000003</v>
      </c>
      <c r="I19" s="222">
        <v>0</v>
      </c>
      <c r="J19" s="222">
        <v>-32.817469999999958</v>
      </c>
      <c r="K19" s="222">
        <v>0</v>
      </c>
      <c r="L19" s="222">
        <v>1995.78007</v>
      </c>
      <c r="M19" s="222">
        <v>0</v>
      </c>
      <c r="N19" s="222">
        <v>2535.0542699999996</v>
      </c>
      <c r="O19" s="222">
        <v>31.672650000000001</v>
      </c>
      <c r="P19" s="222">
        <v>1129.3702599999999</v>
      </c>
      <c r="Q19" s="222">
        <v>0</v>
      </c>
      <c r="R19" s="222">
        <v>1405.6840099999999</v>
      </c>
      <c r="S19" s="222">
        <v>31.672650000000001</v>
      </c>
      <c r="T19" s="222">
        <v>-3037.5975900000003</v>
      </c>
      <c r="U19" s="222">
        <v>-741.47585000000004</v>
      </c>
      <c r="V19" s="222">
        <v>29.623309999999947</v>
      </c>
      <c r="W19" s="222">
        <v>0</v>
      </c>
      <c r="X19" s="222">
        <v>-3067.2209000000003</v>
      </c>
      <c r="Y19" s="223">
        <v>-741.47585000000004</v>
      </c>
    </row>
    <row r="20" spans="1:25" x14ac:dyDescent="0.25">
      <c r="A20" s="221" t="s">
        <v>161</v>
      </c>
      <c r="B20" s="222">
        <v>2286.18498</v>
      </c>
      <c r="C20" s="222">
        <v>0</v>
      </c>
      <c r="D20" s="222">
        <v>1200.77304</v>
      </c>
      <c r="E20" s="222">
        <v>0</v>
      </c>
      <c r="F20" s="222">
        <v>1085.41194</v>
      </c>
      <c r="G20" s="222">
        <v>0</v>
      </c>
      <c r="H20" s="222">
        <v>411.30625000000009</v>
      </c>
      <c r="I20" s="222">
        <v>0</v>
      </c>
      <c r="J20" s="222">
        <v>171.77527000000009</v>
      </c>
      <c r="K20" s="222">
        <v>0</v>
      </c>
      <c r="L20" s="222">
        <v>239.53098</v>
      </c>
      <c r="M20" s="222">
        <v>0</v>
      </c>
      <c r="N20" s="222">
        <v>1447.2553700000001</v>
      </c>
      <c r="O20" s="222">
        <v>0</v>
      </c>
      <c r="P20" s="222">
        <v>339.61975999999999</v>
      </c>
      <c r="Q20" s="222">
        <v>0</v>
      </c>
      <c r="R20" s="222">
        <v>1107.63561</v>
      </c>
      <c r="S20" s="222">
        <v>0</v>
      </c>
      <c r="T20" s="222">
        <v>-9352.3777499999997</v>
      </c>
      <c r="U20" s="222">
        <v>0</v>
      </c>
      <c r="V20" s="222">
        <v>-466.37943999999999</v>
      </c>
      <c r="W20" s="222">
        <v>0</v>
      </c>
      <c r="X20" s="222">
        <v>-8885.9983100000009</v>
      </c>
      <c r="Y20" s="223">
        <v>0</v>
      </c>
    </row>
    <row r="21" spans="1:25" x14ac:dyDescent="0.25">
      <c r="A21" s="221" t="s">
        <v>162</v>
      </c>
      <c r="B21" s="222">
        <v>1220.9458400000001</v>
      </c>
      <c r="C21" s="222">
        <v>0</v>
      </c>
      <c r="D21" s="222">
        <v>519.49837000000002</v>
      </c>
      <c r="E21" s="222">
        <v>0</v>
      </c>
      <c r="F21" s="222">
        <v>701.44747000000007</v>
      </c>
      <c r="G21" s="222">
        <v>0</v>
      </c>
      <c r="H21" s="222">
        <v>133.64299000000005</v>
      </c>
      <c r="I21" s="222">
        <v>0</v>
      </c>
      <c r="J21" s="222">
        <v>-80.947639999999978</v>
      </c>
      <c r="K21" s="222">
        <v>0</v>
      </c>
      <c r="L21" s="222">
        <v>214.59063000000003</v>
      </c>
      <c r="M21" s="222">
        <v>0</v>
      </c>
      <c r="N21" s="222">
        <v>3536.0751200000004</v>
      </c>
      <c r="O21" s="222">
        <v>25</v>
      </c>
      <c r="P21" s="222">
        <v>839.21023000000002</v>
      </c>
      <c r="Q21" s="222">
        <v>0</v>
      </c>
      <c r="R21" s="222">
        <v>2696.8648900000003</v>
      </c>
      <c r="S21" s="222">
        <v>25</v>
      </c>
      <c r="T21" s="222">
        <v>-3052.4232799999991</v>
      </c>
      <c r="U21" s="222">
        <v>25</v>
      </c>
      <c r="V21" s="222">
        <v>107.88180999999997</v>
      </c>
      <c r="W21" s="222">
        <v>0</v>
      </c>
      <c r="X21" s="222">
        <v>-3160.3050899999994</v>
      </c>
      <c r="Y21" s="223">
        <v>25</v>
      </c>
    </row>
    <row r="22" spans="1:25" x14ac:dyDescent="0.25">
      <c r="A22" s="221" t="s">
        <v>163</v>
      </c>
      <c r="B22" s="222">
        <v>3412.15193</v>
      </c>
      <c r="C22" s="222">
        <v>0</v>
      </c>
      <c r="D22" s="222">
        <v>1767.6169</v>
      </c>
      <c r="E22" s="222">
        <v>0</v>
      </c>
      <c r="F22" s="222">
        <v>1644.53503</v>
      </c>
      <c r="G22" s="222">
        <v>0</v>
      </c>
      <c r="H22" s="222">
        <v>2306.4294199999999</v>
      </c>
      <c r="I22" s="222">
        <v>-4.6000000000000001E-4</v>
      </c>
      <c r="J22" s="222">
        <v>1127.2712299999998</v>
      </c>
      <c r="K22" s="222">
        <v>0</v>
      </c>
      <c r="L22" s="222">
        <v>1179.1581900000001</v>
      </c>
      <c r="M22" s="222">
        <v>-4.6000000000000001E-4</v>
      </c>
      <c r="N22" s="222">
        <v>12872.689849999999</v>
      </c>
      <c r="O22" s="222">
        <v>0</v>
      </c>
      <c r="P22" s="222">
        <v>10480.304889999999</v>
      </c>
      <c r="Q22" s="222">
        <v>0</v>
      </c>
      <c r="R22" s="222">
        <v>2392.3849600000003</v>
      </c>
      <c r="S22" s="222">
        <v>0</v>
      </c>
      <c r="T22" s="222">
        <v>4825.0803799999994</v>
      </c>
      <c r="U22" s="222">
        <v>0</v>
      </c>
      <c r="V22" s="222">
        <v>6966.7738399999998</v>
      </c>
      <c r="W22" s="222">
        <v>0</v>
      </c>
      <c r="X22" s="222">
        <v>-2141.6934599999995</v>
      </c>
      <c r="Y22" s="223">
        <v>0</v>
      </c>
    </row>
    <row r="23" spans="1:25" x14ac:dyDescent="0.25">
      <c r="A23" s="221" t="s">
        <v>164</v>
      </c>
      <c r="B23" s="222">
        <v>11359.29766</v>
      </c>
      <c r="C23" s="222">
        <v>15.03227</v>
      </c>
      <c r="D23" s="222">
        <v>3956.37437</v>
      </c>
      <c r="E23" s="222">
        <v>0</v>
      </c>
      <c r="F23" s="222">
        <v>7402.9232899999997</v>
      </c>
      <c r="G23" s="222">
        <v>15.03227</v>
      </c>
      <c r="H23" s="222">
        <v>-1092.1567099999993</v>
      </c>
      <c r="I23" s="222">
        <v>0</v>
      </c>
      <c r="J23" s="222">
        <v>-997.66854000000012</v>
      </c>
      <c r="K23" s="222">
        <v>0</v>
      </c>
      <c r="L23" s="222">
        <v>-94.488170000000537</v>
      </c>
      <c r="M23" s="222">
        <v>0</v>
      </c>
      <c r="N23" s="222">
        <v>51716.313330000004</v>
      </c>
      <c r="O23" s="222">
        <v>404.49646999999999</v>
      </c>
      <c r="P23" s="222">
        <v>5958.0296699999999</v>
      </c>
      <c r="Q23" s="222">
        <v>404.49646999999999</v>
      </c>
      <c r="R23" s="222">
        <v>45758.283660000001</v>
      </c>
      <c r="S23" s="222">
        <v>0</v>
      </c>
      <c r="T23" s="222">
        <v>6065.8149800000028</v>
      </c>
      <c r="U23" s="222">
        <v>384.07252999999997</v>
      </c>
      <c r="V23" s="222">
        <v>-2535.1350299999995</v>
      </c>
      <c r="W23" s="222">
        <v>404.49646999999999</v>
      </c>
      <c r="X23" s="222">
        <v>8600.9500100000005</v>
      </c>
      <c r="Y23" s="223">
        <v>-20.423940000000002</v>
      </c>
    </row>
    <row r="24" spans="1:25" x14ac:dyDescent="0.25">
      <c r="A24" s="221" t="s">
        <v>165</v>
      </c>
      <c r="B24" s="222">
        <v>5108.4575399999994</v>
      </c>
      <c r="C24" s="222">
        <v>0</v>
      </c>
      <c r="D24" s="222">
        <v>2595.8098199999999</v>
      </c>
      <c r="E24" s="222">
        <v>0</v>
      </c>
      <c r="F24" s="222">
        <v>2512.6477199999999</v>
      </c>
      <c r="G24" s="222">
        <v>0</v>
      </c>
      <c r="H24" s="222">
        <v>494.91926999999941</v>
      </c>
      <c r="I24" s="222">
        <v>0</v>
      </c>
      <c r="J24" s="222">
        <v>735.61085000000003</v>
      </c>
      <c r="K24" s="222">
        <v>0</v>
      </c>
      <c r="L24" s="222">
        <v>-240.69158000000016</v>
      </c>
      <c r="M24" s="222">
        <v>0</v>
      </c>
      <c r="N24" s="222">
        <v>4891.9603100000004</v>
      </c>
      <c r="O24" s="222">
        <v>0</v>
      </c>
      <c r="P24" s="222">
        <v>2467.2371899999998</v>
      </c>
      <c r="Q24" s="222">
        <v>0</v>
      </c>
      <c r="R24" s="222">
        <v>2424.7231200000001</v>
      </c>
      <c r="S24" s="222">
        <v>0</v>
      </c>
      <c r="T24" s="222">
        <v>1208.8857200000002</v>
      </c>
      <c r="U24" s="222">
        <v>0</v>
      </c>
      <c r="V24" s="222">
        <v>86.08914999999979</v>
      </c>
      <c r="W24" s="222">
        <v>0</v>
      </c>
      <c r="X24" s="222">
        <v>1122.7965700000002</v>
      </c>
      <c r="Y24" s="223">
        <v>0</v>
      </c>
    </row>
    <row r="25" spans="1:25" x14ac:dyDescent="0.25">
      <c r="A25" s="221" t="s">
        <v>166</v>
      </c>
      <c r="B25" s="222">
        <v>1606022.04899</v>
      </c>
      <c r="C25" s="222">
        <v>0</v>
      </c>
      <c r="D25" s="222">
        <v>3846.5832799999998</v>
      </c>
      <c r="E25" s="222">
        <v>0</v>
      </c>
      <c r="F25" s="222">
        <v>1602175.4657100001</v>
      </c>
      <c r="G25" s="222">
        <v>0</v>
      </c>
      <c r="H25" s="222">
        <v>71610.555400000187</v>
      </c>
      <c r="I25" s="222">
        <v>0</v>
      </c>
      <c r="J25" s="222">
        <v>-4084.8415199999999</v>
      </c>
      <c r="K25" s="222">
        <v>0</v>
      </c>
      <c r="L25" s="222">
        <v>75695.396920000203</v>
      </c>
      <c r="M25" s="222">
        <v>0</v>
      </c>
      <c r="N25" s="222">
        <v>67877.185710000005</v>
      </c>
      <c r="O25" s="222">
        <v>0</v>
      </c>
      <c r="P25" s="222">
        <v>7266.3836499999998</v>
      </c>
      <c r="Q25" s="222">
        <v>0</v>
      </c>
      <c r="R25" s="222">
        <v>60610.802060000002</v>
      </c>
      <c r="S25" s="222">
        <v>0</v>
      </c>
      <c r="T25" s="222">
        <v>-3980.4937199999986</v>
      </c>
      <c r="U25" s="222">
        <v>0</v>
      </c>
      <c r="V25" s="222">
        <v>-5958.3763600000002</v>
      </c>
      <c r="W25" s="222">
        <v>0</v>
      </c>
      <c r="X25" s="222">
        <v>1977.8826400000034</v>
      </c>
      <c r="Y25" s="223">
        <v>0</v>
      </c>
    </row>
    <row r="26" spans="1:25" x14ac:dyDescent="0.25">
      <c r="A26" s="221" t="s">
        <v>167</v>
      </c>
      <c r="B26" s="222">
        <v>143541.17631000001</v>
      </c>
      <c r="C26" s="222">
        <v>0</v>
      </c>
      <c r="D26" s="222">
        <v>2160.3769699999998</v>
      </c>
      <c r="E26" s="222">
        <v>0</v>
      </c>
      <c r="F26" s="222">
        <v>141380.79934</v>
      </c>
      <c r="G26" s="222">
        <v>0</v>
      </c>
      <c r="H26" s="222">
        <v>133073.87403000001</v>
      </c>
      <c r="I26" s="222">
        <v>-5.2527200000000001</v>
      </c>
      <c r="J26" s="222">
        <v>89.666489999999612</v>
      </c>
      <c r="K26" s="222">
        <v>0</v>
      </c>
      <c r="L26" s="222">
        <v>132984.20754</v>
      </c>
      <c r="M26" s="222">
        <v>-5.2527200000000001</v>
      </c>
      <c r="N26" s="222">
        <v>12664.905720000001</v>
      </c>
      <c r="O26" s="222">
        <v>0</v>
      </c>
      <c r="P26" s="222">
        <v>3413.8529100000001</v>
      </c>
      <c r="Q26" s="222">
        <v>0</v>
      </c>
      <c r="R26" s="222">
        <v>9251.052810000001</v>
      </c>
      <c r="S26" s="222">
        <v>0</v>
      </c>
      <c r="T26" s="222">
        <v>-3968.8631100000002</v>
      </c>
      <c r="U26" s="222">
        <v>0</v>
      </c>
      <c r="V26" s="222">
        <v>-282.00963999999976</v>
      </c>
      <c r="W26" s="222">
        <v>0</v>
      </c>
      <c r="X26" s="222">
        <v>-3686.8534699999982</v>
      </c>
      <c r="Y26" s="223">
        <v>0</v>
      </c>
    </row>
    <row r="27" spans="1:25" x14ac:dyDescent="0.25">
      <c r="A27" s="221" t="s">
        <v>168</v>
      </c>
      <c r="B27" s="222">
        <v>6835.8459899999998</v>
      </c>
      <c r="C27" s="222">
        <v>0</v>
      </c>
      <c r="D27" s="222">
        <v>4962.4430700000003</v>
      </c>
      <c r="E27" s="222">
        <v>0</v>
      </c>
      <c r="F27" s="222">
        <v>1873.40292</v>
      </c>
      <c r="G27" s="222">
        <v>0</v>
      </c>
      <c r="H27" s="222">
        <v>-18606.420509999996</v>
      </c>
      <c r="I27" s="222">
        <v>0</v>
      </c>
      <c r="J27" s="222">
        <v>-846.30063999999948</v>
      </c>
      <c r="K27" s="222">
        <v>0</v>
      </c>
      <c r="L27" s="222">
        <v>-17760.119869999999</v>
      </c>
      <c r="M27" s="222">
        <v>0</v>
      </c>
      <c r="N27" s="222">
        <v>3854.9208599999997</v>
      </c>
      <c r="O27" s="222">
        <v>32.557279999999999</v>
      </c>
      <c r="P27" s="222">
        <v>3095.1520099999998</v>
      </c>
      <c r="Q27" s="222">
        <v>32.557279999999999</v>
      </c>
      <c r="R27" s="222">
        <v>759.76884999999993</v>
      </c>
      <c r="S27" s="222">
        <v>0</v>
      </c>
      <c r="T27" s="222">
        <v>-4150.4687099999992</v>
      </c>
      <c r="U27" s="222">
        <v>-0.2569999999999979</v>
      </c>
      <c r="V27" s="222">
        <v>-122.22207000000026</v>
      </c>
      <c r="W27" s="222">
        <v>-0.2569999999999979</v>
      </c>
      <c r="X27" s="222">
        <v>-4028.2466399999998</v>
      </c>
      <c r="Y27" s="223">
        <v>0</v>
      </c>
    </row>
    <row r="28" spans="1:25" x14ac:dyDescent="0.25">
      <c r="A28" s="221" t="s">
        <v>169</v>
      </c>
      <c r="B28" s="222">
        <v>7963.4088900000006</v>
      </c>
      <c r="C28" s="222">
        <v>0</v>
      </c>
      <c r="D28" s="222">
        <v>5673.1273700000002</v>
      </c>
      <c r="E28" s="222">
        <v>0</v>
      </c>
      <c r="F28" s="222">
        <v>2290.28152</v>
      </c>
      <c r="G28" s="222">
        <v>0</v>
      </c>
      <c r="H28" s="222">
        <v>382.82939000000079</v>
      </c>
      <c r="I28" s="222">
        <v>0</v>
      </c>
      <c r="J28" s="222">
        <v>147.49163000000044</v>
      </c>
      <c r="K28" s="222">
        <v>0</v>
      </c>
      <c r="L28" s="222">
        <v>235.33775999999989</v>
      </c>
      <c r="M28" s="222">
        <v>0</v>
      </c>
      <c r="N28" s="222">
        <v>6042.7160299999996</v>
      </c>
      <c r="O28" s="222">
        <v>0</v>
      </c>
      <c r="P28" s="222">
        <v>6042.7160299999996</v>
      </c>
      <c r="Q28" s="222">
        <v>0</v>
      </c>
      <c r="R28" s="222">
        <v>0</v>
      </c>
      <c r="S28" s="222">
        <v>0</v>
      </c>
      <c r="T28" s="222">
        <v>-3295.35959</v>
      </c>
      <c r="U28" s="222">
        <v>0</v>
      </c>
      <c r="V28" s="222">
        <v>-3295.35959</v>
      </c>
      <c r="W28" s="222">
        <v>0</v>
      </c>
      <c r="X28" s="222">
        <v>0</v>
      </c>
      <c r="Y28" s="223">
        <v>0</v>
      </c>
    </row>
    <row r="29" spans="1:25" x14ac:dyDescent="0.25">
      <c r="A29" s="221" t="s">
        <v>170</v>
      </c>
      <c r="B29" s="222">
        <v>5613.2475100000001</v>
      </c>
      <c r="C29" s="222">
        <v>0</v>
      </c>
      <c r="D29" s="222">
        <v>652.93659000000002</v>
      </c>
      <c r="E29" s="222">
        <v>0</v>
      </c>
      <c r="F29" s="222">
        <v>4960.3109199999999</v>
      </c>
      <c r="G29" s="222">
        <v>0</v>
      </c>
      <c r="H29" s="222">
        <v>-1504.7266499999996</v>
      </c>
      <c r="I29" s="222">
        <v>0</v>
      </c>
      <c r="J29" s="222">
        <v>-109.24234999999999</v>
      </c>
      <c r="K29" s="222">
        <v>0</v>
      </c>
      <c r="L29" s="222">
        <v>-1395.4843000000001</v>
      </c>
      <c r="M29" s="222">
        <v>0</v>
      </c>
      <c r="N29" s="222">
        <v>1389.9884300000001</v>
      </c>
      <c r="O29" s="222">
        <v>0</v>
      </c>
      <c r="P29" s="222">
        <v>646.42762000000005</v>
      </c>
      <c r="Q29" s="222">
        <v>0</v>
      </c>
      <c r="R29" s="222">
        <v>743.56081000000006</v>
      </c>
      <c r="S29" s="222">
        <v>0</v>
      </c>
      <c r="T29" s="222">
        <v>94.109940000000051</v>
      </c>
      <c r="U29" s="222">
        <v>0</v>
      </c>
      <c r="V29" s="222">
        <v>-1.4288899999999103</v>
      </c>
      <c r="W29" s="222">
        <v>0</v>
      </c>
      <c r="X29" s="222">
        <v>95.538830000000075</v>
      </c>
      <c r="Y29" s="223">
        <v>0</v>
      </c>
    </row>
    <row r="30" spans="1:25" x14ac:dyDescent="0.25">
      <c r="A30" s="221" t="s">
        <v>171</v>
      </c>
      <c r="B30" s="222">
        <v>11115238.627299998</v>
      </c>
      <c r="C30" s="222">
        <v>1549.61508</v>
      </c>
      <c r="D30" s="222">
        <v>52337.300040000002</v>
      </c>
      <c r="E30" s="222">
        <v>337.58627999999999</v>
      </c>
      <c r="F30" s="222">
        <v>11062901.327259999</v>
      </c>
      <c r="G30" s="222">
        <v>1212.0288</v>
      </c>
      <c r="H30" s="222">
        <v>11037738.886069998</v>
      </c>
      <c r="I30" s="222">
        <v>-270.64235999999983</v>
      </c>
      <c r="J30" s="222">
        <v>1750.8473000000013</v>
      </c>
      <c r="K30" s="222">
        <v>-252.34641999999997</v>
      </c>
      <c r="L30" s="222">
        <v>11035988.03877</v>
      </c>
      <c r="M30" s="222">
        <v>-18.295939999999973</v>
      </c>
      <c r="N30" s="222">
        <v>368193.00925</v>
      </c>
      <c r="O30" s="222">
        <v>904.55898000000002</v>
      </c>
      <c r="P30" s="222">
        <v>100628.02607000001</v>
      </c>
      <c r="Q30" s="222">
        <v>904.55898000000002</v>
      </c>
      <c r="R30" s="222">
        <v>267564.98317999998</v>
      </c>
      <c r="S30" s="222">
        <v>0</v>
      </c>
      <c r="T30" s="222">
        <v>92465.865879999998</v>
      </c>
      <c r="U30" s="222">
        <v>-3318.1964400000006</v>
      </c>
      <c r="V30" s="222">
        <v>303.0632600000099</v>
      </c>
      <c r="W30" s="222">
        <v>-3281.9264000000003</v>
      </c>
      <c r="X30" s="222">
        <v>92162.802619999973</v>
      </c>
      <c r="Y30" s="223">
        <v>-36.270040000000002</v>
      </c>
    </row>
    <row r="31" spans="1:25" x14ac:dyDescent="0.25">
      <c r="A31" s="221" t="s">
        <v>172</v>
      </c>
      <c r="B31" s="222">
        <v>30548.242190000001</v>
      </c>
      <c r="C31" s="222">
        <v>1217.93245</v>
      </c>
      <c r="D31" s="222">
        <v>26374.260040000001</v>
      </c>
      <c r="E31" s="222">
        <v>1217.5525</v>
      </c>
      <c r="F31" s="222">
        <v>4173.9821499999998</v>
      </c>
      <c r="G31" s="222">
        <v>0.37995000000000001</v>
      </c>
      <c r="H31" s="222">
        <v>-19267.118250000003</v>
      </c>
      <c r="I31" s="222">
        <v>406.38718000000006</v>
      </c>
      <c r="J31" s="222">
        <v>2242.2491000000009</v>
      </c>
      <c r="K31" s="222">
        <v>406.27151000000003</v>
      </c>
      <c r="L31" s="222">
        <v>-21509.36735</v>
      </c>
      <c r="M31" s="222">
        <v>0.11567</v>
      </c>
      <c r="N31" s="222">
        <v>35536.062859999998</v>
      </c>
      <c r="O31" s="222">
        <v>312.69290000000001</v>
      </c>
      <c r="P31" s="222">
        <v>32468.36204</v>
      </c>
      <c r="Q31" s="222">
        <v>312.60950000000003</v>
      </c>
      <c r="R31" s="222">
        <v>3067.70082</v>
      </c>
      <c r="S31" s="222">
        <v>8.3400000000000002E-2</v>
      </c>
      <c r="T31" s="222">
        <v>-22735.592380000002</v>
      </c>
      <c r="U31" s="222">
        <v>312.69290000000001</v>
      </c>
      <c r="V31" s="222">
        <v>1934.991399999999</v>
      </c>
      <c r="W31" s="222">
        <v>312.60950000000003</v>
      </c>
      <c r="X31" s="222">
        <v>-24670.583780000001</v>
      </c>
      <c r="Y31" s="223">
        <v>8.3400000000000002E-2</v>
      </c>
    </row>
    <row r="32" spans="1:25" x14ac:dyDescent="0.25">
      <c r="A32" s="221" t="s">
        <v>173</v>
      </c>
      <c r="B32" s="222">
        <v>24477.085030000002</v>
      </c>
      <c r="C32" s="222">
        <v>442.30513000000002</v>
      </c>
      <c r="D32" s="222">
        <v>12087.89482</v>
      </c>
      <c r="E32" s="222">
        <v>442.30513000000002</v>
      </c>
      <c r="F32" s="222">
        <v>12389.190210000001</v>
      </c>
      <c r="G32" s="222">
        <v>0</v>
      </c>
      <c r="H32" s="222">
        <v>-212234.86320999998</v>
      </c>
      <c r="I32" s="222">
        <v>442.30513000000002</v>
      </c>
      <c r="J32" s="222">
        <v>-1085.8258800000003</v>
      </c>
      <c r="K32" s="222">
        <v>442.30513000000002</v>
      </c>
      <c r="L32" s="222">
        <v>-211149.03732999999</v>
      </c>
      <c r="M32" s="222">
        <v>0</v>
      </c>
      <c r="N32" s="222">
        <v>29660.3678</v>
      </c>
      <c r="O32" s="222">
        <v>0</v>
      </c>
      <c r="P32" s="222">
        <v>10612.2806</v>
      </c>
      <c r="Q32" s="222">
        <v>0</v>
      </c>
      <c r="R32" s="222">
        <v>19048.087200000002</v>
      </c>
      <c r="S32" s="222">
        <v>0</v>
      </c>
      <c r="T32" s="222">
        <v>-12254.210060000005</v>
      </c>
      <c r="U32" s="222">
        <v>-439.69652000000002</v>
      </c>
      <c r="V32" s="222">
        <v>-1981.8179</v>
      </c>
      <c r="W32" s="222">
        <v>-10</v>
      </c>
      <c r="X32" s="222">
        <v>-10272.392159999999</v>
      </c>
      <c r="Y32" s="223">
        <v>-429.69652000000002</v>
      </c>
    </row>
    <row r="33" spans="1:25" x14ac:dyDescent="0.25">
      <c r="A33" s="221" t="s">
        <v>174</v>
      </c>
      <c r="B33" s="222">
        <v>5874.8554100000001</v>
      </c>
      <c r="C33" s="222">
        <v>0</v>
      </c>
      <c r="D33" s="222">
        <v>4501.42821</v>
      </c>
      <c r="E33" s="222">
        <v>0</v>
      </c>
      <c r="F33" s="222">
        <v>1373.4272000000001</v>
      </c>
      <c r="G33" s="222">
        <v>0</v>
      </c>
      <c r="H33" s="222">
        <v>-2338.58662</v>
      </c>
      <c r="I33" s="222">
        <v>-16.452919999999999</v>
      </c>
      <c r="J33" s="222">
        <v>-2211.6656899999998</v>
      </c>
      <c r="K33" s="222">
        <v>0</v>
      </c>
      <c r="L33" s="222">
        <v>-126.92092999999977</v>
      </c>
      <c r="M33" s="222">
        <v>-16.452919999999999</v>
      </c>
      <c r="N33" s="222">
        <v>23217.8328</v>
      </c>
      <c r="O33" s="222">
        <v>0</v>
      </c>
      <c r="P33" s="222">
        <v>4157.0898100000004</v>
      </c>
      <c r="Q33" s="222">
        <v>0</v>
      </c>
      <c r="R33" s="222">
        <v>19060.742989999999</v>
      </c>
      <c r="S33" s="222">
        <v>0</v>
      </c>
      <c r="T33" s="222">
        <v>-6376.3732300000011</v>
      </c>
      <c r="U33" s="222">
        <v>0</v>
      </c>
      <c r="V33" s="222">
        <v>-1484.1503399999992</v>
      </c>
      <c r="W33" s="222">
        <v>0</v>
      </c>
      <c r="X33" s="222">
        <v>-4892.2228900000009</v>
      </c>
      <c r="Y33" s="223">
        <v>0</v>
      </c>
    </row>
    <row r="34" spans="1:25" x14ac:dyDescent="0.25">
      <c r="A34" s="221" t="s">
        <v>175</v>
      </c>
      <c r="B34" s="222">
        <v>1269093.6034199998</v>
      </c>
      <c r="C34" s="222">
        <v>0</v>
      </c>
      <c r="D34" s="222">
        <v>2331.4251399999998</v>
      </c>
      <c r="E34" s="222">
        <v>0</v>
      </c>
      <c r="F34" s="222">
        <v>1266762.1782799999</v>
      </c>
      <c r="G34" s="222">
        <v>0</v>
      </c>
      <c r="H34" s="222">
        <v>210054.60229999968</v>
      </c>
      <c r="I34" s="222">
        <v>-240.95536999999999</v>
      </c>
      <c r="J34" s="222">
        <v>209.16733999999997</v>
      </c>
      <c r="K34" s="222">
        <v>0</v>
      </c>
      <c r="L34" s="222">
        <v>209845.43495999975</v>
      </c>
      <c r="M34" s="222">
        <v>-240.95536999999999</v>
      </c>
      <c r="N34" s="222">
        <v>6449.2070999999996</v>
      </c>
      <c r="O34" s="222">
        <v>0</v>
      </c>
      <c r="P34" s="222">
        <v>3611.40317</v>
      </c>
      <c r="Q34" s="222">
        <v>0</v>
      </c>
      <c r="R34" s="222">
        <v>2837.80393</v>
      </c>
      <c r="S34" s="222">
        <v>0</v>
      </c>
      <c r="T34" s="222">
        <v>-7416.6564599999983</v>
      </c>
      <c r="U34" s="222">
        <v>0</v>
      </c>
      <c r="V34" s="222">
        <v>-1371.1711099999998</v>
      </c>
      <c r="W34" s="222">
        <v>0</v>
      </c>
      <c r="X34" s="222">
        <v>-6045.485349999999</v>
      </c>
      <c r="Y34" s="223">
        <v>0</v>
      </c>
    </row>
    <row r="35" spans="1:25" x14ac:dyDescent="0.25">
      <c r="A35" s="221" t="s">
        <v>176</v>
      </c>
      <c r="B35" s="222">
        <v>12.644629999999999</v>
      </c>
      <c r="C35" s="222">
        <v>0</v>
      </c>
      <c r="D35" s="222">
        <v>2.4489999999999998</v>
      </c>
      <c r="E35" s="222">
        <v>0</v>
      </c>
      <c r="F35" s="222">
        <v>10.19563</v>
      </c>
      <c r="G35" s="222">
        <v>0</v>
      </c>
      <c r="H35" s="222">
        <v>-51.514469999999996</v>
      </c>
      <c r="I35" s="222">
        <v>0</v>
      </c>
      <c r="J35" s="222">
        <v>-44.331220000000002</v>
      </c>
      <c r="K35" s="222">
        <v>0</v>
      </c>
      <c r="L35" s="222">
        <v>-7.1832499999999992</v>
      </c>
      <c r="M35" s="222">
        <v>0</v>
      </c>
      <c r="N35" s="222">
        <v>2137.2754599999998</v>
      </c>
      <c r="O35" s="222">
        <v>0</v>
      </c>
      <c r="P35" s="222">
        <v>893.11152000000004</v>
      </c>
      <c r="Q35" s="222">
        <v>0</v>
      </c>
      <c r="R35" s="222">
        <v>1244.1639399999999</v>
      </c>
      <c r="S35" s="222">
        <v>0</v>
      </c>
      <c r="T35" s="222">
        <v>210.89633999999978</v>
      </c>
      <c r="U35" s="222">
        <v>0</v>
      </c>
      <c r="V35" s="222">
        <v>-21.872939999999971</v>
      </c>
      <c r="W35" s="222">
        <v>0</v>
      </c>
      <c r="X35" s="222">
        <v>232.76927999999998</v>
      </c>
      <c r="Y35" s="223">
        <v>0</v>
      </c>
    </row>
    <row r="36" spans="1:25" x14ac:dyDescent="0.25">
      <c r="A36" s="221" t="s">
        <v>177</v>
      </c>
      <c r="B36" s="222">
        <v>2149.9743100000001</v>
      </c>
      <c r="C36" s="222">
        <v>0</v>
      </c>
      <c r="D36" s="222">
        <v>1740.08825</v>
      </c>
      <c r="E36" s="222">
        <v>0</v>
      </c>
      <c r="F36" s="222">
        <v>409.88605999999999</v>
      </c>
      <c r="G36" s="222">
        <v>0</v>
      </c>
      <c r="H36" s="222">
        <v>-691.55308999999988</v>
      </c>
      <c r="I36" s="222">
        <v>0</v>
      </c>
      <c r="J36" s="222">
        <v>-344.90348999999992</v>
      </c>
      <c r="K36" s="222">
        <v>0</v>
      </c>
      <c r="L36" s="222">
        <v>-346.64960000000002</v>
      </c>
      <c r="M36" s="222">
        <v>0</v>
      </c>
      <c r="N36" s="222">
        <v>1890.21225</v>
      </c>
      <c r="O36" s="222">
        <v>0</v>
      </c>
      <c r="P36" s="222">
        <v>209.55224999999999</v>
      </c>
      <c r="Q36" s="222">
        <v>0</v>
      </c>
      <c r="R36" s="222">
        <v>1680.66</v>
      </c>
      <c r="S36" s="222">
        <v>0</v>
      </c>
      <c r="T36" s="222">
        <v>-966.6553100000001</v>
      </c>
      <c r="U36" s="222">
        <v>0</v>
      </c>
      <c r="V36" s="222">
        <v>45.490690000000001</v>
      </c>
      <c r="W36" s="222">
        <v>0</v>
      </c>
      <c r="X36" s="222">
        <v>-1012.146</v>
      </c>
      <c r="Y36" s="223">
        <v>0</v>
      </c>
    </row>
    <row r="37" spans="1:25" x14ac:dyDescent="0.25">
      <c r="A37" s="238" t="s">
        <v>178</v>
      </c>
      <c r="B37" s="239">
        <v>14748297.203359999</v>
      </c>
      <c r="C37" s="239">
        <v>4815.2599200000004</v>
      </c>
      <c r="D37" s="239">
        <v>173252.80983000001</v>
      </c>
      <c r="E37" s="239">
        <v>3587.8172200000004</v>
      </c>
      <c r="F37" s="239">
        <v>14575044.393529998</v>
      </c>
      <c r="G37" s="239">
        <v>1227.4427000000001</v>
      </c>
      <c r="H37" s="239">
        <v>11131632.986019999</v>
      </c>
      <c r="I37" s="239">
        <v>317.43680000000052</v>
      </c>
      <c r="J37" s="239">
        <v>-9579.3042599999972</v>
      </c>
      <c r="K37" s="239">
        <v>606.15675000000022</v>
      </c>
      <c r="L37" s="239">
        <v>11141212.290279999</v>
      </c>
      <c r="M37" s="239">
        <v>-288.71994999999993</v>
      </c>
      <c r="N37" s="239">
        <v>715679.0411899999</v>
      </c>
      <c r="O37" s="239">
        <v>2130.1735699999999</v>
      </c>
      <c r="P37" s="239">
        <v>209487.21313000005</v>
      </c>
      <c r="Q37" s="239">
        <v>2073.41752</v>
      </c>
      <c r="R37" s="239">
        <v>506191.82805999997</v>
      </c>
      <c r="S37" s="239">
        <v>56.756050000000002</v>
      </c>
      <c r="T37" s="239">
        <v>7195.5830299999998</v>
      </c>
      <c r="U37" s="239">
        <v>-11261.01233</v>
      </c>
      <c r="V37" s="239">
        <v>-18733.965709999989</v>
      </c>
      <c r="W37" s="239">
        <v>-9488.304329999999</v>
      </c>
      <c r="X37" s="239">
        <v>25929.548739999977</v>
      </c>
      <c r="Y37" s="240">
        <v>-1772.7080000000001</v>
      </c>
    </row>
    <row r="38" spans="1:25" x14ac:dyDescent="0.25">
      <c r="A38" s="221" t="s">
        <v>315</v>
      </c>
      <c r="B38" s="222">
        <v>28569850.542640001</v>
      </c>
      <c r="C38" s="222">
        <v>59093.361439999986</v>
      </c>
      <c r="D38" s="222">
        <v>1225009.6639099999</v>
      </c>
      <c r="E38" s="222">
        <v>33150.720460000004</v>
      </c>
      <c r="F38" s="222">
        <v>27344840.878729999</v>
      </c>
      <c r="G38" s="222">
        <v>25942.64098</v>
      </c>
      <c r="H38" s="222">
        <v>2163303.8904500012</v>
      </c>
      <c r="I38" s="222">
        <v>6766.1175799999974</v>
      </c>
      <c r="J38" s="222">
        <v>523427.34116999997</v>
      </c>
      <c r="K38" s="222">
        <v>-14890.519039999996</v>
      </c>
      <c r="L38" s="222">
        <v>1639876.5492800013</v>
      </c>
      <c r="M38" s="222">
        <v>21656.636620000005</v>
      </c>
      <c r="N38" s="222">
        <v>4586123.6403599996</v>
      </c>
      <c r="O38" s="222">
        <v>22778.092850000001</v>
      </c>
      <c r="P38" s="222">
        <v>2338629.2144200001</v>
      </c>
      <c r="Q38" s="222">
        <v>22778.092850000001</v>
      </c>
      <c r="R38" s="222">
        <v>2247494.4259400005</v>
      </c>
      <c r="S38" s="222">
        <v>0</v>
      </c>
      <c r="T38" s="222">
        <v>602835.68621000019</v>
      </c>
      <c r="U38" s="222">
        <v>-85967.998270000011</v>
      </c>
      <c r="V38" s="222">
        <v>136286.57717</v>
      </c>
      <c r="W38" s="222">
        <v>-85945.248270000011</v>
      </c>
      <c r="X38" s="222">
        <v>466549.10904000007</v>
      </c>
      <c r="Y38" s="223">
        <v>-22.75</v>
      </c>
    </row>
    <row r="39" spans="1:25" ht="13.8" thickBot="1" x14ac:dyDescent="0.3">
      <c r="A39" s="241" t="s">
        <v>316</v>
      </c>
      <c r="B39" s="242">
        <v>43318147.745999999</v>
      </c>
      <c r="C39" s="242">
        <v>63908.62135999999</v>
      </c>
      <c r="D39" s="242">
        <v>1398262.4737399998</v>
      </c>
      <c r="E39" s="242">
        <v>36738.537680000001</v>
      </c>
      <c r="F39" s="242">
        <v>41919885.272259995</v>
      </c>
      <c r="G39" s="242">
        <v>27170.08368</v>
      </c>
      <c r="H39" s="242">
        <v>13294936.87647</v>
      </c>
      <c r="I39" s="242">
        <v>7083.5543799999978</v>
      </c>
      <c r="J39" s="242">
        <v>513848.03690999997</v>
      </c>
      <c r="K39" s="242">
        <v>-14284.362289999995</v>
      </c>
      <c r="L39" s="242">
        <v>12781088.83956</v>
      </c>
      <c r="M39" s="242">
        <v>21367.916670000006</v>
      </c>
      <c r="N39" s="242">
        <v>5301802.6815499999</v>
      </c>
      <c r="O39" s="242">
        <v>24908.26642</v>
      </c>
      <c r="P39" s="242">
        <v>2548116.4275500001</v>
      </c>
      <c r="Q39" s="242">
        <v>24851.51037</v>
      </c>
      <c r="R39" s="242">
        <v>2753686.2540000007</v>
      </c>
      <c r="S39" s="242">
        <v>56.756050000000002</v>
      </c>
      <c r="T39" s="242">
        <v>610031.26924000017</v>
      </c>
      <c r="U39" s="242">
        <v>-97229.010600000009</v>
      </c>
      <c r="V39" s="242">
        <v>117552.61146000001</v>
      </c>
      <c r="W39" s="242">
        <v>-95433.55260000001</v>
      </c>
      <c r="X39" s="242">
        <v>492478.65778000007</v>
      </c>
      <c r="Y39" s="243">
        <v>-1795.4580000000001</v>
      </c>
    </row>
    <row r="40" spans="1:25" ht="13.8" thickTop="1" x14ac:dyDescent="0.25"/>
    <row r="41" spans="1:25" s="228" customFormat="1" x14ac:dyDescent="0.25">
      <c r="A41" s="291"/>
    </row>
    <row r="42" spans="1:25" s="228" customFormat="1" x14ac:dyDescent="0.25">
      <c r="A42" s="291"/>
    </row>
  </sheetData>
  <mergeCells count="29">
    <mergeCell ref="B3:M3"/>
    <mergeCell ref="P8:P9"/>
    <mergeCell ref="V8:V9"/>
    <mergeCell ref="X1:Y1"/>
    <mergeCell ref="C7:C8"/>
    <mergeCell ref="D7:G7"/>
    <mergeCell ref="I7:I8"/>
    <mergeCell ref="J7:M7"/>
    <mergeCell ref="O7:O8"/>
    <mergeCell ref="P7:S7"/>
    <mergeCell ref="V7:Y7"/>
    <mergeCell ref="U7:U8"/>
    <mergeCell ref="X8:X9"/>
    <mergeCell ref="F8:F9"/>
    <mergeCell ref="L8:L9"/>
    <mergeCell ref="R8:R9"/>
    <mergeCell ref="D8:D9"/>
    <mergeCell ref="J8:J9"/>
    <mergeCell ref="A5:A9"/>
    <mergeCell ref="B5:M5"/>
    <mergeCell ref="N5:Y5"/>
    <mergeCell ref="B6:G6"/>
    <mergeCell ref="H6:M6"/>
    <mergeCell ref="N6:S6"/>
    <mergeCell ref="T6:Y6"/>
    <mergeCell ref="T7:T9"/>
    <mergeCell ref="H7:H9"/>
    <mergeCell ref="B7:B9"/>
    <mergeCell ref="N7:N9"/>
  </mergeCells>
  <conditionalFormatting sqref="B11:XFD39">
    <cfRule type="cellIs" dxfId="1" priority="1" operator="equal">
      <formula>0</formula>
    </cfRule>
  </conditionalFormatting>
  <printOptions horizontalCentered="1"/>
  <pageMargins left="0" right="0" top="0.55118110236220474" bottom="0.35433070866141736" header="0.31496062992125984" footer="0.11811023622047245"/>
  <pageSetup paperSize="9" scale="96" fitToWidth="100" orientation="landscape" r:id="rId1"/>
  <headerFooter>
    <oddFooter>&amp;C&amp;9&amp;P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Y33"/>
  <sheetViews>
    <sheetView tabSelected="1" zoomScaleNormal="100" workbookViewId="0">
      <pane xSplit="1" ySplit="9" topLeftCell="B19" activePane="bottomRight" state="frozen"/>
      <selection pane="topRight" activeCell="B1" sqref="B1"/>
      <selection pane="bottomLeft" activeCell="A10" sqref="A10"/>
      <selection pane="bottomRight" activeCell="H6" sqref="H6:H8"/>
    </sheetView>
  </sheetViews>
  <sheetFormatPr defaultColWidth="9.109375" defaultRowHeight="13.2" x14ac:dyDescent="0.25"/>
  <cols>
    <col min="1" max="1" width="20.5546875" style="233" bestFit="1" customWidth="1"/>
    <col min="2" max="2" width="12.33203125" style="220" bestFit="1" customWidth="1"/>
    <col min="3" max="3" width="9.6640625" style="220" bestFit="1" customWidth="1"/>
    <col min="4" max="4" width="11.109375" style="220" customWidth="1"/>
    <col min="5" max="5" width="9.6640625" style="220" bestFit="1" customWidth="1"/>
    <col min="6" max="6" width="12.33203125" style="220" bestFit="1" customWidth="1"/>
    <col min="7" max="7" width="9.6640625" style="220" bestFit="1" customWidth="1"/>
    <col min="8" max="8" width="12" style="220" customWidth="1"/>
    <col min="9" max="9" width="9.6640625" style="220" bestFit="1" customWidth="1"/>
    <col min="10" max="10" width="11.33203125" style="220" bestFit="1" customWidth="1"/>
    <col min="11" max="11" width="9.6640625" style="220" bestFit="1" customWidth="1"/>
    <col min="12" max="12" width="12" style="220" customWidth="1"/>
    <col min="13" max="13" width="9.6640625" style="220" bestFit="1" customWidth="1"/>
    <col min="14" max="14" width="11.33203125" style="220" bestFit="1" customWidth="1"/>
    <col min="15" max="15" width="9.6640625" style="220" bestFit="1" customWidth="1"/>
    <col min="16" max="16" width="12.5546875" style="220" customWidth="1"/>
    <col min="17" max="17" width="10.33203125" style="220" customWidth="1"/>
    <col min="18" max="18" width="11.6640625" style="220" customWidth="1"/>
    <col min="19" max="19" width="9.109375" style="220"/>
    <col min="20" max="20" width="11.33203125" style="220" bestFit="1" customWidth="1"/>
    <col min="21" max="21" width="10.6640625" style="220" customWidth="1"/>
    <col min="22" max="22" width="11.44140625" style="220" customWidth="1"/>
    <col min="23" max="23" width="10.5546875" style="220" customWidth="1"/>
    <col min="24" max="24" width="11.33203125" style="220" customWidth="1"/>
    <col min="25" max="16384" width="9.109375" style="220"/>
  </cols>
  <sheetData>
    <row r="1" spans="1:25" s="287" customFormat="1" ht="21.75" customHeight="1" x14ac:dyDescent="0.25">
      <c r="L1" s="1193" t="s">
        <v>2473</v>
      </c>
      <c r="M1" s="1193"/>
      <c r="P1" s="293"/>
      <c r="Q1" s="293"/>
      <c r="X1" s="1193" t="s">
        <v>2473</v>
      </c>
      <c r="Y1" s="1193"/>
    </row>
    <row r="2" spans="1:25" s="219" customFormat="1" ht="33.75" customHeight="1" x14ac:dyDescent="0.25">
      <c r="A2" s="279"/>
      <c r="B2" s="1012" t="s">
        <v>2474</v>
      </c>
      <c r="C2" s="1012"/>
      <c r="D2" s="1012"/>
      <c r="E2" s="1012"/>
      <c r="F2" s="1012"/>
      <c r="G2" s="1012"/>
      <c r="H2" s="1012"/>
      <c r="I2" s="1012"/>
      <c r="J2" s="1012"/>
      <c r="K2" s="1012"/>
      <c r="L2" s="1012"/>
      <c r="M2" s="1012"/>
      <c r="N2" s="279"/>
      <c r="O2" s="279"/>
      <c r="P2" s="279"/>
      <c r="Q2" s="279"/>
    </row>
    <row r="3" spans="1:25" s="219" customFormat="1" ht="13.8" thickBot="1" x14ac:dyDescent="0.3">
      <c r="P3" s="292"/>
      <c r="Q3" s="292"/>
    </row>
    <row r="4" spans="1:25" s="275" customFormat="1" ht="13.5" customHeight="1" thickTop="1" x14ac:dyDescent="0.25">
      <c r="A4" s="1175" t="s">
        <v>311</v>
      </c>
      <c r="B4" s="1013" t="s">
        <v>319</v>
      </c>
      <c r="C4" s="1013"/>
      <c r="D4" s="1013"/>
      <c r="E4" s="1013"/>
      <c r="F4" s="1013"/>
      <c r="G4" s="1013"/>
      <c r="H4" s="1013"/>
      <c r="I4" s="1013"/>
      <c r="J4" s="1013"/>
      <c r="K4" s="1013"/>
      <c r="L4" s="1013"/>
      <c r="M4" s="1013"/>
      <c r="N4" s="1013" t="s">
        <v>320</v>
      </c>
      <c r="O4" s="1013"/>
      <c r="P4" s="1013"/>
      <c r="Q4" s="1013"/>
      <c r="R4" s="1013"/>
      <c r="S4" s="1013"/>
      <c r="T4" s="1013"/>
      <c r="U4" s="1013"/>
      <c r="V4" s="1013"/>
      <c r="W4" s="1013"/>
      <c r="X4" s="1013"/>
      <c r="Y4" s="1014"/>
    </row>
    <row r="5" spans="1:25" s="275" customFormat="1" ht="12.75" customHeight="1" x14ac:dyDescent="0.25">
      <c r="A5" s="1176"/>
      <c r="B5" s="1009" t="s">
        <v>628</v>
      </c>
      <c r="C5" s="1009"/>
      <c r="D5" s="1009"/>
      <c r="E5" s="1009"/>
      <c r="F5" s="1009"/>
      <c r="G5" s="1009"/>
      <c r="H5" s="1009" t="s">
        <v>632</v>
      </c>
      <c r="I5" s="1009"/>
      <c r="J5" s="1009"/>
      <c r="K5" s="1009"/>
      <c r="L5" s="1009"/>
      <c r="M5" s="1009"/>
      <c r="N5" s="1009" t="s">
        <v>628</v>
      </c>
      <c r="O5" s="1009"/>
      <c r="P5" s="1009"/>
      <c r="Q5" s="1009"/>
      <c r="R5" s="1009"/>
      <c r="S5" s="1009"/>
      <c r="T5" s="1009" t="s">
        <v>632</v>
      </c>
      <c r="U5" s="1009"/>
      <c r="V5" s="1009"/>
      <c r="W5" s="1009"/>
      <c r="X5" s="1009"/>
      <c r="Y5" s="1009"/>
    </row>
    <row r="6" spans="1:25" s="275" customFormat="1" ht="12.75" customHeight="1" x14ac:dyDescent="0.25">
      <c r="A6" s="1176"/>
      <c r="B6" s="1009" t="s">
        <v>321</v>
      </c>
      <c r="C6" s="1177" t="s">
        <v>135</v>
      </c>
      <c r="D6" s="1179" t="s">
        <v>322</v>
      </c>
      <c r="E6" s="1184"/>
      <c r="F6" s="1184"/>
      <c r="G6" s="1180"/>
      <c r="H6" s="1009" t="s">
        <v>321</v>
      </c>
      <c r="I6" s="1177" t="s">
        <v>135</v>
      </c>
      <c r="J6" s="1179" t="s">
        <v>322</v>
      </c>
      <c r="K6" s="1184"/>
      <c r="L6" s="1184"/>
      <c r="M6" s="1180"/>
      <c r="N6" s="1009" t="s">
        <v>321</v>
      </c>
      <c r="O6" s="1177" t="s">
        <v>135</v>
      </c>
      <c r="P6" s="1179" t="s">
        <v>322</v>
      </c>
      <c r="Q6" s="1184"/>
      <c r="R6" s="1184"/>
      <c r="S6" s="1180"/>
      <c r="T6" s="1009" t="s">
        <v>321</v>
      </c>
      <c r="U6" s="1177" t="s">
        <v>135</v>
      </c>
      <c r="V6" s="1179" t="s">
        <v>322</v>
      </c>
      <c r="W6" s="1184"/>
      <c r="X6" s="1184"/>
      <c r="Y6" s="1192"/>
    </row>
    <row r="7" spans="1:25" s="275" customFormat="1" ht="12.75" customHeight="1" x14ac:dyDescent="0.25">
      <c r="A7" s="1176"/>
      <c r="B7" s="1009"/>
      <c r="C7" s="1178"/>
      <c r="D7" s="1009" t="s">
        <v>386</v>
      </c>
      <c r="E7" s="272" t="s">
        <v>135</v>
      </c>
      <c r="F7" s="1009" t="s">
        <v>385</v>
      </c>
      <c r="G7" s="272" t="s">
        <v>135</v>
      </c>
      <c r="H7" s="1009"/>
      <c r="I7" s="1178"/>
      <c r="J7" s="1009" t="s">
        <v>386</v>
      </c>
      <c r="K7" s="272" t="s">
        <v>135</v>
      </c>
      <c r="L7" s="1009" t="s">
        <v>323</v>
      </c>
      <c r="M7" s="272" t="s">
        <v>135</v>
      </c>
      <c r="N7" s="1009"/>
      <c r="O7" s="1178"/>
      <c r="P7" s="1009" t="s">
        <v>386</v>
      </c>
      <c r="Q7" s="272" t="s">
        <v>135</v>
      </c>
      <c r="R7" s="1009" t="s">
        <v>323</v>
      </c>
      <c r="S7" s="272" t="s">
        <v>135</v>
      </c>
      <c r="T7" s="1009"/>
      <c r="U7" s="1178"/>
      <c r="V7" s="1009" t="s">
        <v>386</v>
      </c>
      <c r="W7" s="272" t="s">
        <v>135</v>
      </c>
      <c r="X7" s="1009" t="s">
        <v>323</v>
      </c>
      <c r="Y7" s="273" t="s">
        <v>135</v>
      </c>
    </row>
    <row r="8" spans="1:25" s="275" customFormat="1" ht="26.4" x14ac:dyDescent="0.25">
      <c r="A8" s="1176"/>
      <c r="B8" s="1009"/>
      <c r="C8" s="272" t="s">
        <v>324</v>
      </c>
      <c r="D8" s="1009"/>
      <c r="E8" s="272" t="s">
        <v>324</v>
      </c>
      <c r="F8" s="1009"/>
      <c r="G8" s="272" t="s">
        <v>324</v>
      </c>
      <c r="H8" s="1009"/>
      <c r="I8" s="272" t="s">
        <v>324</v>
      </c>
      <c r="J8" s="1009"/>
      <c r="K8" s="272" t="s">
        <v>324</v>
      </c>
      <c r="L8" s="1009"/>
      <c r="M8" s="272" t="s">
        <v>324</v>
      </c>
      <c r="N8" s="1009"/>
      <c r="O8" s="272" t="s">
        <v>324</v>
      </c>
      <c r="P8" s="1009"/>
      <c r="Q8" s="272" t="s">
        <v>324</v>
      </c>
      <c r="R8" s="1009"/>
      <c r="S8" s="272" t="s">
        <v>324</v>
      </c>
      <c r="T8" s="1009"/>
      <c r="U8" s="272" t="s">
        <v>324</v>
      </c>
      <c r="V8" s="1009"/>
      <c r="W8" s="272" t="s">
        <v>324</v>
      </c>
      <c r="X8" s="1009"/>
      <c r="Y8" s="273" t="s">
        <v>324</v>
      </c>
    </row>
    <row r="9" spans="1:25" s="203" customFormat="1" ht="10.199999999999999" x14ac:dyDescent="0.25">
      <c r="A9" s="202">
        <v>1</v>
      </c>
      <c r="B9" s="200">
        <v>2</v>
      </c>
      <c r="C9" s="200">
        <v>3</v>
      </c>
      <c r="D9" s="200">
        <v>4</v>
      </c>
      <c r="E9" s="200">
        <v>5</v>
      </c>
      <c r="F9" s="200">
        <v>6</v>
      </c>
      <c r="G9" s="200">
        <v>7</v>
      </c>
      <c r="H9" s="200">
        <v>8</v>
      </c>
      <c r="I9" s="200">
        <v>9</v>
      </c>
      <c r="J9" s="200">
        <v>10</v>
      </c>
      <c r="K9" s="200">
        <v>11</v>
      </c>
      <c r="L9" s="200">
        <v>12</v>
      </c>
      <c r="M9" s="200">
        <v>13</v>
      </c>
      <c r="N9" s="200">
        <v>14</v>
      </c>
      <c r="O9" s="200">
        <v>15</v>
      </c>
      <c r="P9" s="200">
        <v>16</v>
      </c>
      <c r="Q9" s="200">
        <v>17</v>
      </c>
      <c r="R9" s="200">
        <v>18</v>
      </c>
      <c r="S9" s="200">
        <v>19</v>
      </c>
      <c r="T9" s="200">
        <v>20</v>
      </c>
      <c r="U9" s="200">
        <v>21</v>
      </c>
      <c r="V9" s="200">
        <v>22</v>
      </c>
      <c r="W9" s="200">
        <v>23</v>
      </c>
      <c r="X9" s="200">
        <v>24</v>
      </c>
      <c r="Y9" s="201">
        <v>25</v>
      </c>
    </row>
    <row r="10" spans="1:25" s="236" customFormat="1" x14ac:dyDescent="0.25">
      <c r="A10" s="221" t="s">
        <v>369</v>
      </c>
      <c r="B10" s="222">
        <v>149147.15471999999</v>
      </c>
      <c r="C10" s="222">
        <v>13.2</v>
      </c>
      <c r="D10" s="222">
        <v>25702.771639999999</v>
      </c>
      <c r="E10" s="222">
        <v>13.2</v>
      </c>
      <c r="F10" s="222">
        <v>123444.38308</v>
      </c>
      <c r="G10" s="222">
        <v>0</v>
      </c>
      <c r="H10" s="222">
        <v>77261.785659999994</v>
      </c>
      <c r="I10" s="222">
        <v>-0.40000000000000036</v>
      </c>
      <c r="J10" s="222">
        <v>18826.673920000001</v>
      </c>
      <c r="K10" s="222">
        <v>-0.40000000000000036</v>
      </c>
      <c r="L10" s="222">
        <v>58435.11174</v>
      </c>
      <c r="M10" s="222">
        <v>0</v>
      </c>
      <c r="N10" s="222">
        <v>48463.495999999999</v>
      </c>
      <c r="O10" s="222">
        <v>3.1E-4</v>
      </c>
      <c r="P10" s="222">
        <v>48463.285329999999</v>
      </c>
      <c r="Q10" s="222">
        <v>3.1E-4</v>
      </c>
      <c r="R10" s="222">
        <v>0.21067</v>
      </c>
      <c r="S10" s="222">
        <v>0</v>
      </c>
      <c r="T10" s="222">
        <v>25807.452419999998</v>
      </c>
      <c r="U10" s="222">
        <v>3.1E-4</v>
      </c>
      <c r="V10" s="222">
        <v>25810.043539999999</v>
      </c>
      <c r="W10" s="222">
        <v>3.1E-4</v>
      </c>
      <c r="X10" s="222">
        <v>-2.5911200000000001</v>
      </c>
      <c r="Y10" s="223">
        <v>0</v>
      </c>
    </row>
    <row r="11" spans="1:25" s="236" customFormat="1" x14ac:dyDescent="0.25">
      <c r="A11" s="230" t="s">
        <v>370</v>
      </c>
      <c r="B11" s="222">
        <v>1219919.7025100002</v>
      </c>
      <c r="C11" s="222">
        <v>359.26384000000002</v>
      </c>
      <c r="D11" s="222">
        <v>26162.732309999999</v>
      </c>
      <c r="E11" s="222">
        <v>359.26384000000002</v>
      </c>
      <c r="F11" s="222">
        <v>1193756.9702000001</v>
      </c>
      <c r="G11" s="222">
        <v>0</v>
      </c>
      <c r="H11" s="222">
        <v>303054.78961000021</v>
      </c>
      <c r="I11" s="222">
        <v>-38.647529999999961</v>
      </c>
      <c r="J11" s="222">
        <v>8949.2005900000004</v>
      </c>
      <c r="K11" s="222">
        <v>358.34730000000002</v>
      </c>
      <c r="L11" s="222">
        <v>294105.58902000007</v>
      </c>
      <c r="M11" s="222">
        <v>-396.99482999999998</v>
      </c>
      <c r="N11" s="222">
        <v>12386.40432</v>
      </c>
      <c r="O11" s="222">
        <v>0</v>
      </c>
      <c r="P11" s="222">
        <v>8029.7412299999996</v>
      </c>
      <c r="Q11" s="222">
        <v>0</v>
      </c>
      <c r="R11" s="222">
        <v>4356.66309</v>
      </c>
      <c r="S11" s="222">
        <v>0</v>
      </c>
      <c r="T11" s="222">
        <v>1091.3771400000005</v>
      </c>
      <c r="U11" s="222">
        <v>0</v>
      </c>
      <c r="V11" s="222">
        <v>-813.15459999999985</v>
      </c>
      <c r="W11" s="222">
        <v>0</v>
      </c>
      <c r="X11" s="222">
        <v>1904.5317399999999</v>
      </c>
      <c r="Y11" s="223">
        <v>0</v>
      </c>
    </row>
    <row r="12" spans="1:25" s="236" customFormat="1" x14ac:dyDescent="0.25">
      <c r="A12" s="230" t="s">
        <v>371</v>
      </c>
      <c r="B12" s="222">
        <v>16373246.970280001</v>
      </c>
      <c r="C12" s="222">
        <v>52416.436699999998</v>
      </c>
      <c r="D12" s="222">
        <v>964673.51434999995</v>
      </c>
      <c r="E12" s="222">
        <v>29966.864709999998</v>
      </c>
      <c r="F12" s="222">
        <v>15408573.45593</v>
      </c>
      <c r="G12" s="222">
        <v>22449.57199</v>
      </c>
      <c r="H12" s="222">
        <v>311904.97172000073</v>
      </c>
      <c r="I12" s="222">
        <v>7988.3591099999976</v>
      </c>
      <c r="J12" s="222">
        <v>502753.92769999994</v>
      </c>
      <c r="K12" s="222">
        <v>-14183.472199999998</v>
      </c>
      <c r="L12" s="222">
        <v>-190848.95597999915</v>
      </c>
      <c r="M12" s="222">
        <v>22171.831310000001</v>
      </c>
      <c r="N12" s="222">
        <v>3836723.5490500005</v>
      </c>
      <c r="O12" s="222">
        <v>21752.833559999999</v>
      </c>
      <c r="P12" s="222">
        <v>2182017.3867000001</v>
      </c>
      <c r="Q12" s="222">
        <v>21752.833559999999</v>
      </c>
      <c r="R12" s="222">
        <v>1654706.1623500001</v>
      </c>
      <c r="S12" s="222">
        <v>0</v>
      </c>
      <c r="T12" s="222">
        <v>378393.52051000018</v>
      </c>
      <c r="U12" s="222">
        <v>-86696.624380000008</v>
      </c>
      <c r="V12" s="222">
        <v>113063.57973</v>
      </c>
      <c r="W12" s="222">
        <v>-86696.624380000008</v>
      </c>
      <c r="X12" s="222">
        <v>265329.94078000006</v>
      </c>
      <c r="Y12" s="223">
        <v>0</v>
      </c>
    </row>
    <row r="13" spans="1:25" s="236" customFormat="1" ht="26.4" x14ac:dyDescent="0.25">
      <c r="A13" s="230" t="s">
        <v>372</v>
      </c>
      <c r="B13" s="222">
        <v>21735.454530000003</v>
      </c>
      <c r="C13" s="222">
        <v>0</v>
      </c>
      <c r="D13" s="222">
        <v>0</v>
      </c>
      <c r="E13" s="222">
        <v>0</v>
      </c>
      <c r="F13" s="222">
        <v>21735.454530000003</v>
      </c>
      <c r="G13" s="222">
        <v>0</v>
      </c>
      <c r="H13" s="222">
        <v>-112382.78484999998</v>
      </c>
      <c r="I13" s="222">
        <v>0</v>
      </c>
      <c r="J13" s="222">
        <v>-310.01767000000001</v>
      </c>
      <c r="K13" s="222">
        <v>0</v>
      </c>
      <c r="L13" s="222">
        <v>-112072.76717999998</v>
      </c>
      <c r="M13" s="222">
        <v>0</v>
      </c>
      <c r="N13" s="222">
        <v>486.45223999999996</v>
      </c>
      <c r="O13" s="222">
        <v>0</v>
      </c>
      <c r="P13" s="222">
        <v>0</v>
      </c>
      <c r="Q13" s="222">
        <v>0</v>
      </c>
      <c r="R13" s="222">
        <v>486.45223999999996</v>
      </c>
      <c r="S13" s="222">
        <v>0</v>
      </c>
      <c r="T13" s="222">
        <v>189.19641999999993</v>
      </c>
      <c r="U13" s="222">
        <v>0</v>
      </c>
      <c r="V13" s="222">
        <v>0</v>
      </c>
      <c r="W13" s="222">
        <v>0</v>
      </c>
      <c r="X13" s="222">
        <v>189.19641999999993</v>
      </c>
      <c r="Y13" s="223">
        <v>0</v>
      </c>
    </row>
    <row r="14" spans="1:25" s="236" customFormat="1" x14ac:dyDescent="0.25">
      <c r="A14" s="230" t="s">
        <v>373</v>
      </c>
      <c r="B14" s="222">
        <v>2627569.5362200001</v>
      </c>
      <c r="C14" s="222">
        <v>0</v>
      </c>
      <c r="D14" s="222">
        <v>7867.4639800000004</v>
      </c>
      <c r="E14" s="222">
        <v>0</v>
      </c>
      <c r="F14" s="222">
        <v>2619702.0722400001</v>
      </c>
      <c r="G14" s="222">
        <v>0</v>
      </c>
      <c r="H14" s="222">
        <v>290119.78050999995</v>
      </c>
      <c r="I14" s="222">
        <v>-11.69068</v>
      </c>
      <c r="J14" s="222">
        <v>-1257.2865299999994</v>
      </c>
      <c r="K14" s="222">
        <v>0</v>
      </c>
      <c r="L14" s="222">
        <v>291377.06704000011</v>
      </c>
      <c r="M14" s="222">
        <v>-11.69068</v>
      </c>
      <c r="N14" s="222">
        <v>151521.33161999998</v>
      </c>
      <c r="O14" s="222">
        <v>0</v>
      </c>
      <c r="P14" s="222">
        <v>8161.4202999999998</v>
      </c>
      <c r="Q14" s="222">
        <v>0</v>
      </c>
      <c r="R14" s="222">
        <v>143359.91131999998</v>
      </c>
      <c r="S14" s="222">
        <v>0</v>
      </c>
      <c r="T14" s="222">
        <v>134394.44454999999</v>
      </c>
      <c r="U14" s="222">
        <v>-194.59298999999999</v>
      </c>
      <c r="V14" s="222">
        <v>-1620.1238900000008</v>
      </c>
      <c r="W14" s="222">
        <v>-194.59298999999999</v>
      </c>
      <c r="X14" s="222">
        <v>136014.56843999997</v>
      </c>
      <c r="Y14" s="223">
        <v>0</v>
      </c>
    </row>
    <row r="15" spans="1:25" s="236" customFormat="1" x14ac:dyDescent="0.25">
      <c r="A15" s="230" t="s">
        <v>374</v>
      </c>
      <c r="B15" s="222">
        <v>888888.21379000007</v>
      </c>
      <c r="C15" s="222">
        <v>34.404869999999995</v>
      </c>
      <c r="D15" s="222">
        <v>5979.7959700000001</v>
      </c>
      <c r="E15" s="222">
        <v>33.351219999999998</v>
      </c>
      <c r="F15" s="222">
        <v>882908.41782000009</v>
      </c>
      <c r="G15" s="222">
        <v>1.05365</v>
      </c>
      <c r="H15" s="222">
        <v>-27169.616659999941</v>
      </c>
      <c r="I15" s="222">
        <v>32.904869999999995</v>
      </c>
      <c r="J15" s="222">
        <v>-2770.2657800000006</v>
      </c>
      <c r="K15" s="222">
        <v>33.351219999999998</v>
      </c>
      <c r="L15" s="222">
        <v>-24399.350879999925</v>
      </c>
      <c r="M15" s="222">
        <v>-0.44635000000000002</v>
      </c>
      <c r="N15" s="222">
        <v>67931.391510000001</v>
      </c>
      <c r="O15" s="222">
        <v>0</v>
      </c>
      <c r="P15" s="222">
        <v>3197.1170099999999</v>
      </c>
      <c r="Q15" s="222">
        <v>0</v>
      </c>
      <c r="R15" s="222">
        <v>64734.2745</v>
      </c>
      <c r="S15" s="222">
        <v>0</v>
      </c>
      <c r="T15" s="222">
        <v>-53970.534450000006</v>
      </c>
      <c r="U15" s="222">
        <v>0</v>
      </c>
      <c r="V15" s="222">
        <v>-1123.1866799999998</v>
      </c>
      <c r="W15" s="222">
        <v>0</v>
      </c>
      <c r="X15" s="222">
        <v>-52847.347770000008</v>
      </c>
      <c r="Y15" s="223">
        <v>0</v>
      </c>
    </row>
    <row r="16" spans="1:25" s="236" customFormat="1" x14ac:dyDescent="0.25">
      <c r="A16" s="230" t="s">
        <v>375</v>
      </c>
      <c r="B16" s="222">
        <v>800832.49462999997</v>
      </c>
      <c r="C16" s="222">
        <v>3782.06999</v>
      </c>
      <c r="D16" s="222">
        <v>49613.021110000001</v>
      </c>
      <c r="E16" s="222">
        <v>1119.2606599999999</v>
      </c>
      <c r="F16" s="222">
        <v>751219.47352</v>
      </c>
      <c r="G16" s="222">
        <v>2662.80933</v>
      </c>
      <c r="H16" s="222">
        <v>513644.30619999999</v>
      </c>
      <c r="I16" s="222">
        <v>-510.20274000000063</v>
      </c>
      <c r="J16" s="222">
        <v>9699.2352900000042</v>
      </c>
      <c r="K16" s="222">
        <v>-1066.9347600000001</v>
      </c>
      <c r="L16" s="222">
        <v>503945.07091000001</v>
      </c>
      <c r="M16" s="222">
        <v>556.73201999999992</v>
      </c>
      <c r="N16" s="222">
        <v>63833.052859999996</v>
      </c>
      <c r="O16" s="222">
        <v>0</v>
      </c>
      <c r="P16" s="222">
        <v>26680.009190000001</v>
      </c>
      <c r="Q16" s="222">
        <v>0</v>
      </c>
      <c r="R16" s="222">
        <v>37153.043669999999</v>
      </c>
      <c r="S16" s="222">
        <v>0</v>
      </c>
      <c r="T16" s="222">
        <v>2615.7589000000007</v>
      </c>
      <c r="U16" s="222">
        <v>-102.04019</v>
      </c>
      <c r="V16" s="222">
        <v>6007.9593999999997</v>
      </c>
      <c r="W16" s="222">
        <v>-79.290189999999996</v>
      </c>
      <c r="X16" s="222">
        <v>-3392.200499999999</v>
      </c>
      <c r="Y16" s="223">
        <v>-22.75</v>
      </c>
    </row>
    <row r="17" spans="1:25" s="236" customFormat="1" x14ac:dyDescent="0.25">
      <c r="A17" s="230" t="s">
        <v>376</v>
      </c>
      <c r="B17" s="222">
        <v>12912.77492</v>
      </c>
      <c r="C17" s="222">
        <v>0</v>
      </c>
      <c r="D17" s="222">
        <v>12912.77492</v>
      </c>
      <c r="E17" s="222">
        <v>0</v>
      </c>
      <c r="F17" s="222">
        <v>0</v>
      </c>
      <c r="G17" s="222">
        <v>0</v>
      </c>
      <c r="H17" s="222">
        <v>1196.5941000000003</v>
      </c>
      <c r="I17" s="222">
        <v>0</v>
      </c>
      <c r="J17" s="222">
        <v>1196.5941000000003</v>
      </c>
      <c r="K17" s="222">
        <v>0</v>
      </c>
      <c r="L17" s="222">
        <v>0</v>
      </c>
      <c r="M17" s="222">
        <v>0</v>
      </c>
      <c r="N17" s="222">
        <v>1911.60472</v>
      </c>
      <c r="O17" s="222">
        <v>0</v>
      </c>
      <c r="P17" s="222">
        <v>1911.60472</v>
      </c>
      <c r="Q17" s="222">
        <v>0</v>
      </c>
      <c r="R17" s="222">
        <v>0</v>
      </c>
      <c r="S17" s="222">
        <v>0</v>
      </c>
      <c r="T17" s="222">
        <v>-433.00274000000013</v>
      </c>
      <c r="U17" s="222">
        <v>0</v>
      </c>
      <c r="V17" s="222">
        <v>-433.00274000000013</v>
      </c>
      <c r="W17" s="222">
        <v>0</v>
      </c>
      <c r="X17" s="222">
        <v>0</v>
      </c>
      <c r="Y17" s="223">
        <v>0</v>
      </c>
    </row>
    <row r="18" spans="1:25" s="236" customFormat="1" x14ac:dyDescent="0.25">
      <c r="A18" s="230" t="s">
        <v>377</v>
      </c>
      <c r="B18" s="222">
        <v>298910.12469999999</v>
      </c>
      <c r="C18" s="222">
        <v>211.10550000000001</v>
      </c>
      <c r="D18" s="222">
        <v>100069.15764999999</v>
      </c>
      <c r="E18" s="222">
        <v>211.10550000000001</v>
      </c>
      <c r="F18" s="222">
        <v>198840.96705000001</v>
      </c>
      <c r="G18" s="222">
        <v>0</v>
      </c>
      <c r="H18" s="222">
        <v>37590.490969999984</v>
      </c>
      <c r="I18" s="222">
        <v>-63.836000000000013</v>
      </c>
      <c r="J18" s="222">
        <v>-6923.331480000008</v>
      </c>
      <c r="K18" s="222">
        <v>-63.836000000000013</v>
      </c>
      <c r="L18" s="222">
        <v>44513.822450000007</v>
      </c>
      <c r="M18" s="222">
        <v>0</v>
      </c>
      <c r="N18" s="222">
        <v>5379.3471800000007</v>
      </c>
      <c r="O18" s="222">
        <v>0</v>
      </c>
      <c r="P18" s="222">
        <v>1514.20885</v>
      </c>
      <c r="Q18" s="222">
        <v>0</v>
      </c>
      <c r="R18" s="222">
        <v>3865.1383300000002</v>
      </c>
      <c r="S18" s="222">
        <v>0</v>
      </c>
      <c r="T18" s="222">
        <v>916.54554000000098</v>
      </c>
      <c r="U18" s="222">
        <v>0</v>
      </c>
      <c r="V18" s="222">
        <v>-256.42933999999991</v>
      </c>
      <c r="W18" s="222">
        <v>0</v>
      </c>
      <c r="X18" s="222">
        <v>1172.9748800000002</v>
      </c>
      <c r="Y18" s="223">
        <v>0</v>
      </c>
    </row>
    <row r="19" spans="1:25" s="236" customFormat="1" x14ac:dyDescent="0.25">
      <c r="A19" s="230" t="s">
        <v>378</v>
      </c>
      <c r="B19" s="222">
        <v>5295880.5480500003</v>
      </c>
      <c r="C19" s="222">
        <v>1764.17058</v>
      </c>
      <c r="D19" s="222">
        <v>7129.9709000000003</v>
      </c>
      <c r="E19" s="222">
        <v>1002.19286</v>
      </c>
      <c r="F19" s="222">
        <v>5288750.5771500003</v>
      </c>
      <c r="G19" s="222">
        <v>761.97771999999998</v>
      </c>
      <c r="H19" s="222">
        <v>592134.14988000039</v>
      </c>
      <c r="I19" s="222">
        <v>-815.70459000000028</v>
      </c>
      <c r="J19" s="222">
        <v>-2543.6322500000006</v>
      </c>
      <c r="K19" s="222">
        <v>-104.28473999999994</v>
      </c>
      <c r="L19" s="222">
        <v>594677.78213000018</v>
      </c>
      <c r="M19" s="222">
        <v>-711.41985000000011</v>
      </c>
      <c r="N19" s="222">
        <v>280155.38626</v>
      </c>
      <c r="O19" s="222">
        <v>0</v>
      </c>
      <c r="P19" s="222">
        <v>10641.004349999999</v>
      </c>
      <c r="Q19" s="222">
        <v>0</v>
      </c>
      <c r="R19" s="222">
        <v>269514.38191</v>
      </c>
      <c r="S19" s="222">
        <v>0</v>
      </c>
      <c r="T19" s="222">
        <v>49016.757230000017</v>
      </c>
      <c r="U19" s="222">
        <v>0</v>
      </c>
      <c r="V19" s="222">
        <v>-10132.890780000002</v>
      </c>
      <c r="W19" s="222">
        <v>0</v>
      </c>
      <c r="X19" s="222">
        <v>59149.648010000004</v>
      </c>
      <c r="Y19" s="223">
        <v>0</v>
      </c>
    </row>
    <row r="20" spans="1:25" s="236" customFormat="1" x14ac:dyDescent="0.25">
      <c r="A20" s="230" t="s">
        <v>379</v>
      </c>
      <c r="B20" s="222">
        <v>3024.3671300000001</v>
      </c>
      <c r="C20" s="222">
        <v>305.96821</v>
      </c>
      <c r="D20" s="222">
        <v>2235.7660900000001</v>
      </c>
      <c r="E20" s="222">
        <v>304.24954000000002</v>
      </c>
      <c r="F20" s="222">
        <v>788.60104000000001</v>
      </c>
      <c r="G20" s="222">
        <v>1.7186699999999999</v>
      </c>
      <c r="H20" s="222">
        <v>-59012.016839999997</v>
      </c>
      <c r="I20" s="222">
        <v>1.934880000000021</v>
      </c>
      <c r="J20" s="222">
        <v>-31.995620000000145</v>
      </c>
      <c r="K20" s="222">
        <v>1.934880000000021</v>
      </c>
      <c r="L20" s="222">
        <v>-58980.021219999995</v>
      </c>
      <c r="M20" s="222">
        <v>0</v>
      </c>
      <c r="N20" s="222">
        <v>6822.1725900000001</v>
      </c>
      <c r="O20" s="222">
        <v>0</v>
      </c>
      <c r="P20" s="222">
        <v>6822.1725900000001</v>
      </c>
      <c r="Q20" s="222">
        <v>0</v>
      </c>
      <c r="R20" s="222">
        <v>0</v>
      </c>
      <c r="S20" s="222">
        <v>0</v>
      </c>
      <c r="T20" s="222">
        <v>752.85404999999992</v>
      </c>
      <c r="U20" s="222">
        <v>0</v>
      </c>
      <c r="V20" s="222">
        <v>752.85404999999992</v>
      </c>
      <c r="W20" s="222">
        <v>0</v>
      </c>
      <c r="X20" s="222">
        <v>0</v>
      </c>
      <c r="Y20" s="223">
        <v>0</v>
      </c>
    </row>
    <row r="21" spans="1:25" s="236" customFormat="1" x14ac:dyDescent="0.25">
      <c r="A21" s="230" t="s">
        <v>380</v>
      </c>
      <c r="B21" s="222">
        <v>2355.5460499999999</v>
      </c>
      <c r="C21" s="222">
        <v>0</v>
      </c>
      <c r="D21" s="222">
        <v>1942.1558600000001</v>
      </c>
      <c r="E21" s="222">
        <v>0</v>
      </c>
      <c r="F21" s="222">
        <v>413.39019000000002</v>
      </c>
      <c r="G21" s="222">
        <v>0</v>
      </c>
      <c r="H21" s="222">
        <v>431.00625999999988</v>
      </c>
      <c r="I21" s="222">
        <v>0</v>
      </c>
      <c r="J21" s="222">
        <v>251.51907000000006</v>
      </c>
      <c r="K21" s="222">
        <v>0</v>
      </c>
      <c r="L21" s="222">
        <v>179.48719</v>
      </c>
      <c r="M21" s="222">
        <v>0</v>
      </c>
      <c r="N21" s="222">
        <v>5238.8801000000003</v>
      </c>
      <c r="O21" s="222">
        <v>0</v>
      </c>
      <c r="P21" s="222">
        <v>14.896000000000001</v>
      </c>
      <c r="Q21" s="222">
        <v>0</v>
      </c>
      <c r="R21" s="222">
        <v>5223.9841000000006</v>
      </c>
      <c r="S21" s="222">
        <v>0</v>
      </c>
      <c r="T21" s="222">
        <v>4643.7401500000005</v>
      </c>
      <c r="U21" s="222">
        <v>0</v>
      </c>
      <c r="V21" s="222">
        <v>-62.748409999999993</v>
      </c>
      <c r="W21" s="222">
        <v>0</v>
      </c>
      <c r="X21" s="222">
        <v>4706.4885600000007</v>
      </c>
      <c r="Y21" s="223">
        <v>0</v>
      </c>
    </row>
    <row r="22" spans="1:25" s="236" customFormat="1" x14ac:dyDescent="0.25">
      <c r="A22" s="230" t="s">
        <v>2475</v>
      </c>
      <c r="B22" s="222">
        <v>3480.53116</v>
      </c>
      <c r="C22" s="222">
        <v>0</v>
      </c>
      <c r="D22" s="222">
        <v>798.65890999999999</v>
      </c>
      <c r="E22" s="222">
        <v>0</v>
      </c>
      <c r="F22" s="222">
        <v>2681.8722499999999</v>
      </c>
      <c r="G22" s="222">
        <v>0</v>
      </c>
      <c r="H22" s="222">
        <v>-6400.0613599999997</v>
      </c>
      <c r="I22" s="222">
        <v>0</v>
      </c>
      <c r="J22" s="222">
        <v>-5858.8068999999996</v>
      </c>
      <c r="K22" s="222">
        <v>0</v>
      </c>
      <c r="L22" s="222">
        <v>-541.25446000000011</v>
      </c>
      <c r="M22" s="222">
        <v>0</v>
      </c>
      <c r="N22" s="222">
        <v>90815.926550000004</v>
      </c>
      <c r="O22" s="222">
        <v>0</v>
      </c>
      <c r="P22" s="222">
        <v>26989.113710000001</v>
      </c>
      <c r="Q22" s="222">
        <v>0</v>
      </c>
      <c r="R22" s="222">
        <v>63826.812839999999</v>
      </c>
      <c r="S22" s="222">
        <v>0</v>
      </c>
      <c r="T22" s="222">
        <v>61006.479640000005</v>
      </c>
      <c r="U22" s="222">
        <v>0</v>
      </c>
      <c r="V22" s="222">
        <v>6311.1243500000019</v>
      </c>
      <c r="W22" s="222">
        <v>0</v>
      </c>
      <c r="X22" s="222">
        <v>54695.35529</v>
      </c>
      <c r="Y22" s="223">
        <v>0</v>
      </c>
    </row>
    <row r="23" spans="1:25" s="236" customFormat="1" ht="26.4" x14ac:dyDescent="0.25">
      <c r="A23" s="230" t="s">
        <v>382</v>
      </c>
      <c r="B23" s="222">
        <v>362070.49236999999</v>
      </c>
      <c r="C23" s="222">
        <v>48.625</v>
      </c>
      <c r="D23" s="222">
        <v>12819.097680000001</v>
      </c>
      <c r="E23" s="222">
        <v>0</v>
      </c>
      <c r="F23" s="222">
        <v>349251.39468999999</v>
      </c>
      <c r="G23" s="222">
        <v>48.625</v>
      </c>
      <c r="H23" s="222">
        <v>70180.87937999994</v>
      </c>
      <c r="I23" s="222">
        <v>48.625</v>
      </c>
      <c r="J23" s="222">
        <v>-71.574409999999261</v>
      </c>
      <c r="K23" s="222">
        <v>0</v>
      </c>
      <c r="L23" s="222">
        <v>70252.453789999941</v>
      </c>
      <c r="M23" s="222">
        <v>48.625</v>
      </c>
      <c r="N23" s="222">
        <v>12702.530920000001</v>
      </c>
      <c r="O23" s="222">
        <v>1022.30398</v>
      </c>
      <c r="P23" s="222">
        <v>12545.85094</v>
      </c>
      <c r="Q23" s="222">
        <v>1022.30398</v>
      </c>
      <c r="R23" s="222">
        <v>156.67998</v>
      </c>
      <c r="S23" s="222">
        <v>0</v>
      </c>
      <c r="T23" s="222">
        <v>-2233.5390199999983</v>
      </c>
      <c r="U23" s="222">
        <v>1022.30398</v>
      </c>
      <c r="V23" s="222">
        <v>-1841.6377599999996</v>
      </c>
      <c r="W23" s="222">
        <v>1022.30398</v>
      </c>
      <c r="X23" s="222">
        <v>-391.90125999999998</v>
      </c>
      <c r="Y23" s="223">
        <v>0</v>
      </c>
    </row>
    <row r="24" spans="1:25" ht="26.4" x14ac:dyDescent="0.25">
      <c r="A24" s="230" t="s">
        <v>383</v>
      </c>
      <c r="B24" s="222">
        <v>0.12986</v>
      </c>
      <c r="C24" s="222">
        <v>0</v>
      </c>
      <c r="D24" s="222">
        <v>0</v>
      </c>
      <c r="E24" s="222">
        <v>0</v>
      </c>
      <c r="F24" s="222">
        <v>0.12986</v>
      </c>
      <c r="G24" s="222">
        <v>0</v>
      </c>
      <c r="H24" s="222">
        <v>-1.4132899999999999</v>
      </c>
      <c r="I24" s="222">
        <v>0</v>
      </c>
      <c r="J24" s="222">
        <v>0</v>
      </c>
      <c r="K24" s="222">
        <v>0</v>
      </c>
      <c r="L24" s="222">
        <v>-1.4132899999999999</v>
      </c>
      <c r="M24" s="222">
        <v>0</v>
      </c>
      <c r="N24" s="222">
        <v>531.96</v>
      </c>
      <c r="O24" s="222">
        <v>0</v>
      </c>
      <c r="P24" s="222">
        <v>531.96</v>
      </c>
      <c r="Q24" s="222">
        <v>0</v>
      </c>
      <c r="R24" s="222">
        <v>0</v>
      </c>
      <c r="S24" s="222">
        <v>0</v>
      </c>
      <c r="T24" s="222">
        <v>525.83222999999998</v>
      </c>
      <c r="U24" s="222">
        <v>0</v>
      </c>
      <c r="V24" s="222">
        <v>531.96</v>
      </c>
      <c r="W24" s="222">
        <v>0</v>
      </c>
      <c r="X24" s="222">
        <v>-6.1277699999999999</v>
      </c>
      <c r="Y24" s="223">
        <v>0</v>
      </c>
    </row>
    <row r="25" spans="1:25" ht="26.4" x14ac:dyDescent="0.25">
      <c r="A25" s="230" t="s">
        <v>384</v>
      </c>
      <c r="B25" s="222">
        <v>509876.50172</v>
      </c>
      <c r="C25" s="222">
        <v>158.11675000000002</v>
      </c>
      <c r="D25" s="222">
        <v>7102.7825400000002</v>
      </c>
      <c r="E25" s="222">
        <v>141.23213000000001</v>
      </c>
      <c r="F25" s="222">
        <v>502773.71918000001</v>
      </c>
      <c r="G25" s="222">
        <v>16.884620000000002</v>
      </c>
      <c r="H25" s="222">
        <v>170751.02916000003</v>
      </c>
      <c r="I25" s="222">
        <v>134.77526000000003</v>
      </c>
      <c r="J25" s="222">
        <v>1517.1011399999998</v>
      </c>
      <c r="K25" s="222">
        <v>134.77526</v>
      </c>
      <c r="L25" s="222">
        <v>169233.92802000005</v>
      </c>
      <c r="M25" s="222">
        <v>0</v>
      </c>
      <c r="N25" s="222">
        <v>1220.15444</v>
      </c>
      <c r="O25" s="222">
        <v>2.9550000000000001</v>
      </c>
      <c r="P25" s="222">
        <v>1109.4435000000001</v>
      </c>
      <c r="Q25" s="222">
        <v>2.9550000000000001</v>
      </c>
      <c r="R25" s="222">
        <v>110.71093999999999</v>
      </c>
      <c r="S25" s="222">
        <v>0</v>
      </c>
      <c r="T25" s="222">
        <v>118.80364000000009</v>
      </c>
      <c r="U25" s="222">
        <v>2.9550000000000001</v>
      </c>
      <c r="V25" s="222">
        <v>92.230300000000057</v>
      </c>
      <c r="W25" s="222">
        <v>2.9550000000000001</v>
      </c>
      <c r="X25" s="222">
        <v>26.573339999999988</v>
      </c>
      <c r="Y25" s="223">
        <v>0</v>
      </c>
    </row>
    <row r="26" spans="1:25" s="199" customFormat="1" ht="13.8" thickBot="1" x14ac:dyDescent="0.3">
      <c r="A26" s="197" t="s">
        <v>318</v>
      </c>
      <c r="B26" s="194">
        <v>28569850.542640001</v>
      </c>
      <c r="C26" s="194">
        <v>59093.361439999986</v>
      </c>
      <c r="D26" s="194">
        <v>1225009.6639100001</v>
      </c>
      <c r="E26" s="194">
        <v>33150.720459999997</v>
      </c>
      <c r="F26" s="194">
        <v>27344840.878729999</v>
      </c>
      <c r="G26" s="194">
        <v>25942.64098</v>
      </c>
      <c r="H26" s="194">
        <v>2163303.8904500012</v>
      </c>
      <c r="I26" s="194">
        <v>6766.1175799999974</v>
      </c>
      <c r="J26" s="194">
        <v>523427.34116999991</v>
      </c>
      <c r="K26" s="194">
        <v>-14890.519039999996</v>
      </c>
      <c r="L26" s="194">
        <v>1639876.5492800013</v>
      </c>
      <c r="M26" s="194">
        <v>21656.636620000005</v>
      </c>
      <c r="N26" s="194">
        <v>4586123.6403599996</v>
      </c>
      <c r="O26" s="194">
        <v>22778.092850000001</v>
      </c>
      <c r="P26" s="194">
        <v>2338629.214420001</v>
      </c>
      <c r="Q26" s="194">
        <v>22778.092850000001</v>
      </c>
      <c r="R26" s="194">
        <v>2247494.4259400005</v>
      </c>
      <c r="S26" s="194">
        <v>0</v>
      </c>
      <c r="T26" s="194">
        <v>602835.68621000019</v>
      </c>
      <c r="U26" s="194">
        <v>-85967.998270000011</v>
      </c>
      <c r="V26" s="194">
        <v>136286.57716999998</v>
      </c>
      <c r="W26" s="194">
        <v>-85945.248270000011</v>
      </c>
      <c r="X26" s="194">
        <v>466549.10904000007</v>
      </c>
      <c r="Y26" s="195">
        <v>-22.75</v>
      </c>
    </row>
    <row r="27" spans="1:25" ht="13.8" thickTop="1" x14ac:dyDescent="0.25"/>
    <row r="32" spans="1:25" x14ac:dyDescent="0.25">
      <c r="L32" s="433"/>
    </row>
    <row r="33" spans="12:12" x14ac:dyDescent="0.25">
      <c r="L33" s="433"/>
    </row>
  </sheetData>
  <mergeCells count="30">
    <mergeCell ref="L1:M1"/>
    <mergeCell ref="X1:Y1"/>
    <mergeCell ref="B2:M2"/>
    <mergeCell ref="T6:T8"/>
    <mergeCell ref="F7:F8"/>
    <mergeCell ref="J7:J8"/>
    <mergeCell ref="R7:R8"/>
    <mergeCell ref="V7:V8"/>
    <mergeCell ref="X7:X8"/>
    <mergeCell ref="B4:M4"/>
    <mergeCell ref="N4:Y4"/>
    <mergeCell ref="B5:G5"/>
    <mergeCell ref="H5:M5"/>
    <mergeCell ref="N5:S5"/>
    <mergeCell ref="T5:Y5"/>
    <mergeCell ref="H6:H8"/>
    <mergeCell ref="V6:Y6"/>
    <mergeCell ref="U6:U7"/>
    <mergeCell ref="A4:A8"/>
    <mergeCell ref="B6:B8"/>
    <mergeCell ref="P7:P8"/>
    <mergeCell ref="D7:D8"/>
    <mergeCell ref="N6:N8"/>
    <mergeCell ref="L7:L8"/>
    <mergeCell ref="D6:G6"/>
    <mergeCell ref="C6:C7"/>
    <mergeCell ref="I6:I7"/>
    <mergeCell ref="J6:M6"/>
    <mergeCell ref="P6:S6"/>
    <mergeCell ref="O6:O7"/>
  </mergeCells>
  <conditionalFormatting sqref="B10:Y26">
    <cfRule type="cellIs" dxfId="0" priority="1" operator="equal">
      <formula>0</formula>
    </cfRule>
  </conditionalFormatting>
  <pageMargins left="0.11811023622047245" right="0.11811023622047245" top="0.55118110236220474" bottom="0.35433070866141736" header="0.31496062992125984" footer="0.11811023622047245"/>
  <pageSetup paperSize="9" scale="95" fitToWidth="100" orientation="landscape" r:id="rId1"/>
  <headerFooter>
    <oddFooter>&amp;C&amp;9&amp;P</oddFooter>
  </headerFooter>
  <colBreaks count="1" manualBreakCount="1">
    <brk id="13" max="2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zoomScaleNormal="100" workbookViewId="0">
      <pane xSplit="1" ySplit="7" topLeftCell="B8" activePane="bottomRight" state="frozen"/>
      <selection pane="topRight" activeCell="B1" sqref="B1"/>
      <selection pane="bottomLeft" activeCell="A8" sqref="A8"/>
      <selection pane="bottomRight" activeCell="H11" sqref="H11"/>
    </sheetView>
  </sheetViews>
  <sheetFormatPr defaultColWidth="9.109375" defaultRowHeight="13.2" x14ac:dyDescent="0.25"/>
  <cols>
    <col min="1" max="1" width="21" style="175" bestFit="1" customWidth="1"/>
    <col min="2" max="2" width="11.33203125" style="181" bestFit="1" customWidth="1"/>
    <col min="3" max="3" width="12.33203125" style="181" bestFit="1" customWidth="1"/>
    <col min="4" max="4" width="22.33203125" style="181" bestFit="1" customWidth="1"/>
    <col min="5" max="9" width="11.33203125" style="181" bestFit="1" customWidth="1"/>
    <col min="10" max="10" width="12.33203125" style="181" bestFit="1" customWidth="1"/>
    <col min="11" max="11" width="9.6640625" style="181" bestFit="1" customWidth="1"/>
    <col min="12" max="13" width="11.33203125" style="181" bestFit="1" customWidth="1"/>
    <col min="14" max="14" width="8.6640625" style="181" bestFit="1" customWidth="1"/>
    <col min="15" max="15" width="9.6640625" style="181" bestFit="1" customWidth="1"/>
    <col min="16" max="16" width="11.33203125" style="181" bestFit="1" customWidth="1"/>
    <col min="17" max="18" width="12.33203125" style="181" bestFit="1" customWidth="1"/>
    <col min="19" max="19" width="22.33203125" style="181" bestFit="1" customWidth="1"/>
    <col min="20" max="21" width="11.33203125" style="181" bestFit="1" customWidth="1"/>
    <col min="22" max="22" width="12.33203125" style="181" bestFit="1" customWidth="1"/>
    <col min="23" max="24" width="11.33203125" style="181" bestFit="1" customWidth="1"/>
    <col min="25" max="25" width="12.33203125" style="181" bestFit="1" customWidth="1"/>
    <col min="26" max="26" width="9.6640625" style="181" bestFit="1" customWidth="1"/>
    <col min="27" max="29" width="11.33203125" style="181" bestFit="1" customWidth="1"/>
    <col min="30" max="30" width="9.6640625" style="181" bestFit="1" customWidth="1"/>
    <col min="31" max="31" width="11.33203125" style="181" bestFit="1" customWidth="1"/>
    <col min="32" max="16384" width="9.109375" style="181"/>
  </cols>
  <sheetData>
    <row r="1" spans="1:31" s="175" customFormat="1" ht="38.25" customHeight="1" x14ac:dyDescent="0.25">
      <c r="A1" s="1194" t="s">
        <v>581</v>
      </c>
      <c r="B1" s="1194"/>
      <c r="C1" s="1194"/>
      <c r="D1" s="1194"/>
      <c r="E1" s="1194"/>
      <c r="F1" s="1194"/>
      <c r="G1" s="1194"/>
      <c r="H1" s="1194"/>
      <c r="I1" s="1194"/>
      <c r="J1" s="1194"/>
      <c r="K1" s="1194"/>
      <c r="L1" s="1194"/>
      <c r="M1" s="1194"/>
      <c r="N1" s="1194"/>
      <c r="O1" s="1194"/>
      <c r="P1" s="1194"/>
    </row>
    <row r="2" spans="1:31" s="175" customFormat="1" x14ac:dyDescent="0.25"/>
    <row r="3" spans="1:31" s="175" customFormat="1" ht="13.8" thickBot="1" x14ac:dyDescent="0.3"/>
    <row r="4" spans="1:31" s="156" customFormat="1" ht="13.5" customHeight="1" thickTop="1" x14ac:dyDescent="0.25">
      <c r="A4" s="1175" t="s">
        <v>1</v>
      </c>
      <c r="B4" s="1195" t="s">
        <v>186</v>
      </c>
      <c r="C4" s="1195"/>
      <c r="D4" s="1013" t="s">
        <v>633</v>
      </c>
      <c r="E4" s="1013" t="s">
        <v>135</v>
      </c>
      <c r="F4" s="1013"/>
      <c r="G4" s="1013"/>
      <c r="H4" s="1013"/>
      <c r="I4" s="1013"/>
      <c r="J4" s="1013"/>
      <c r="K4" s="1013"/>
      <c r="L4" s="1013"/>
      <c r="M4" s="1013"/>
      <c r="N4" s="1013"/>
      <c r="O4" s="1013"/>
      <c r="P4" s="1014"/>
      <c r="Q4" s="1195" t="s">
        <v>186</v>
      </c>
      <c r="R4" s="1195"/>
      <c r="S4" s="1013" t="s">
        <v>634</v>
      </c>
      <c r="T4" s="1013" t="s">
        <v>135</v>
      </c>
      <c r="U4" s="1013"/>
      <c r="V4" s="1013"/>
      <c r="W4" s="1013"/>
      <c r="X4" s="1013"/>
      <c r="Y4" s="1013"/>
      <c r="Z4" s="1013"/>
      <c r="AA4" s="1013"/>
      <c r="AB4" s="1013"/>
      <c r="AC4" s="1013"/>
      <c r="AD4" s="1013"/>
      <c r="AE4" s="1014"/>
    </row>
    <row r="5" spans="1:31" s="156" customFormat="1" ht="55.5" customHeight="1" x14ac:dyDescent="0.25">
      <c r="A5" s="1176"/>
      <c r="B5" s="1196"/>
      <c r="C5" s="1196"/>
      <c r="D5" s="1009"/>
      <c r="E5" s="1009" t="s">
        <v>427</v>
      </c>
      <c r="F5" s="1009"/>
      <c r="G5" s="1009"/>
      <c r="H5" s="1009" t="s">
        <v>428</v>
      </c>
      <c r="I5" s="1009"/>
      <c r="J5" s="1009"/>
      <c r="K5" s="1009" t="s">
        <v>429</v>
      </c>
      <c r="L5" s="1009"/>
      <c r="M5" s="1009"/>
      <c r="N5" s="1009" t="s">
        <v>430</v>
      </c>
      <c r="O5" s="1009"/>
      <c r="P5" s="1010"/>
      <c r="Q5" s="1196"/>
      <c r="R5" s="1196"/>
      <c r="S5" s="1009"/>
      <c r="T5" s="1009" t="s">
        <v>427</v>
      </c>
      <c r="U5" s="1009"/>
      <c r="V5" s="1009"/>
      <c r="W5" s="1009" t="s">
        <v>428</v>
      </c>
      <c r="X5" s="1009"/>
      <c r="Y5" s="1009"/>
      <c r="Z5" s="1009" t="s">
        <v>429</v>
      </c>
      <c r="AA5" s="1009"/>
      <c r="AB5" s="1009"/>
      <c r="AC5" s="1009" t="s">
        <v>430</v>
      </c>
      <c r="AD5" s="1009"/>
      <c r="AE5" s="1010"/>
    </row>
    <row r="6" spans="1:31" s="156" customFormat="1" ht="12.75" customHeight="1" x14ac:dyDescent="0.25">
      <c r="A6" s="1176"/>
      <c r="B6" s="357" t="s">
        <v>144</v>
      </c>
      <c r="C6" s="357" t="s">
        <v>145</v>
      </c>
      <c r="D6" s="1009"/>
      <c r="E6" s="358" t="s">
        <v>144</v>
      </c>
      <c r="F6" s="358" t="s">
        <v>145</v>
      </c>
      <c r="G6" s="359"/>
      <c r="H6" s="358" t="s">
        <v>144</v>
      </c>
      <c r="I6" s="358" t="s">
        <v>145</v>
      </c>
      <c r="J6" s="359"/>
      <c r="K6" s="358" t="s">
        <v>144</v>
      </c>
      <c r="L6" s="358" t="s">
        <v>145</v>
      </c>
      <c r="M6" s="359"/>
      <c r="N6" s="358" t="s">
        <v>144</v>
      </c>
      <c r="O6" s="358" t="s">
        <v>145</v>
      </c>
      <c r="P6" s="360"/>
      <c r="Q6" s="357" t="s">
        <v>144</v>
      </c>
      <c r="R6" s="357" t="s">
        <v>145</v>
      </c>
      <c r="S6" s="1009"/>
      <c r="T6" s="358" t="s">
        <v>144</v>
      </c>
      <c r="U6" s="358" t="s">
        <v>145</v>
      </c>
      <c r="V6" s="359"/>
      <c r="W6" s="358" t="s">
        <v>144</v>
      </c>
      <c r="X6" s="358" t="s">
        <v>145</v>
      </c>
      <c r="Y6" s="359"/>
      <c r="Z6" s="358" t="s">
        <v>144</v>
      </c>
      <c r="AA6" s="358" t="s">
        <v>145</v>
      </c>
      <c r="AB6" s="359"/>
      <c r="AC6" s="358" t="s">
        <v>144</v>
      </c>
      <c r="AD6" s="358" t="s">
        <v>145</v>
      </c>
      <c r="AE6" s="360"/>
    </row>
    <row r="7" spans="1:31" s="156" customFormat="1" x14ac:dyDescent="0.25">
      <c r="A7" s="90"/>
      <c r="B7" s="361"/>
      <c r="C7" s="361"/>
      <c r="D7" s="362"/>
      <c r="E7" s="361"/>
      <c r="F7" s="361"/>
      <c r="G7" s="362"/>
      <c r="H7" s="361"/>
      <c r="I7" s="361"/>
      <c r="J7" s="362"/>
      <c r="K7" s="361"/>
      <c r="L7" s="361"/>
      <c r="M7" s="362"/>
      <c r="N7" s="361"/>
      <c r="O7" s="361"/>
      <c r="P7" s="363"/>
      <c r="Q7" s="365"/>
      <c r="R7" s="365"/>
      <c r="T7" s="365"/>
      <c r="U7" s="365"/>
      <c r="W7" s="365"/>
      <c r="X7" s="365"/>
      <c r="Z7" s="365"/>
      <c r="AA7" s="365"/>
      <c r="AC7" s="365"/>
      <c r="AD7" s="365"/>
    </row>
    <row r="8" spans="1:31" s="178" customFormat="1" x14ac:dyDescent="0.25">
      <c r="A8" s="103" t="s">
        <v>152</v>
      </c>
      <c r="B8" s="364"/>
      <c r="C8" s="364"/>
      <c r="D8" s="28">
        <v>1385133.0048799999</v>
      </c>
      <c r="E8" s="364"/>
      <c r="F8" s="364"/>
      <c r="G8" s="28">
        <v>411744.26422999997</v>
      </c>
      <c r="H8" s="364"/>
      <c r="I8" s="364"/>
      <c r="J8" s="28">
        <v>811159.29865000001</v>
      </c>
      <c r="K8" s="364"/>
      <c r="L8" s="364"/>
      <c r="M8" s="28">
        <v>156326.29999999999</v>
      </c>
      <c r="N8" s="364"/>
      <c r="O8" s="364"/>
      <c r="P8" s="37">
        <v>5903.1419999999998</v>
      </c>
      <c r="Q8" s="366">
        <v>0</v>
      </c>
      <c r="R8" s="366">
        <v>1685020.37971</v>
      </c>
      <c r="S8" s="178">
        <f>(Q8+R8)</f>
        <v>1685020.37971</v>
      </c>
      <c r="T8" s="366">
        <v>0</v>
      </c>
      <c r="U8" s="366">
        <v>695299.33771999995</v>
      </c>
      <c r="V8" s="178">
        <f t="shared" ref="V8:V33" si="0">(T8+U8)</f>
        <v>695299.33771999995</v>
      </c>
      <c r="W8" s="366">
        <v>0</v>
      </c>
      <c r="X8" s="366">
        <v>845877.06498999998</v>
      </c>
      <c r="Y8" s="178">
        <f>(W8+X8)</f>
        <v>845877.06498999998</v>
      </c>
      <c r="Z8" s="366">
        <v>0</v>
      </c>
      <c r="AA8" s="366">
        <v>128768.1</v>
      </c>
      <c r="AB8" s="178">
        <f>(Z8+AA8)</f>
        <v>128768.1</v>
      </c>
      <c r="AC8" s="366">
        <v>0</v>
      </c>
      <c r="AD8" s="366">
        <v>15075.877</v>
      </c>
      <c r="AE8" s="178">
        <f>(AC8+AD8)</f>
        <v>15075.877</v>
      </c>
    </row>
    <row r="9" spans="1:31" s="178" customFormat="1" x14ac:dyDescent="0.25">
      <c r="A9" s="103" t="s">
        <v>153</v>
      </c>
      <c r="B9" s="364"/>
      <c r="C9" s="364"/>
      <c r="D9" s="28">
        <v>571926.65148999996</v>
      </c>
      <c r="E9" s="364"/>
      <c r="F9" s="364"/>
      <c r="G9" s="28">
        <v>183208.43072</v>
      </c>
      <c r="H9" s="364"/>
      <c r="I9" s="364"/>
      <c r="J9" s="28">
        <v>301390.69436999998</v>
      </c>
      <c r="K9" s="364"/>
      <c r="L9" s="364"/>
      <c r="M9" s="28">
        <v>81838.548999999999</v>
      </c>
      <c r="N9" s="364"/>
      <c r="O9" s="364"/>
      <c r="P9" s="37">
        <v>5488.9773999999998</v>
      </c>
      <c r="Q9" s="366">
        <v>0</v>
      </c>
      <c r="R9" s="366">
        <v>616643.00066999998</v>
      </c>
      <c r="S9" s="178">
        <f t="shared" ref="S9:S33" si="1">(Q9+R9)</f>
        <v>616643.00066999998</v>
      </c>
      <c r="T9" s="366">
        <v>0</v>
      </c>
      <c r="U9" s="366">
        <v>225784.76147</v>
      </c>
      <c r="V9" s="178">
        <f t="shared" si="0"/>
        <v>225784.76147</v>
      </c>
      <c r="W9" s="366">
        <v>0</v>
      </c>
      <c r="X9" s="366">
        <v>315593.60947999998</v>
      </c>
      <c r="Y9" s="178">
        <f t="shared" ref="Y9:Y33" si="2">(W9+X9)</f>
        <v>315593.60947999998</v>
      </c>
      <c r="Z9" s="366">
        <v>0</v>
      </c>
      <c r="AA9" s="366">
        <v>65633.600000000006</v>
      </c>
      <c r="AB9" s="178">
        <f t="shared" ref="AB9:AB33" si="3">(Z9+AA9)</f>
        <v>65633.600000000006</v>
      </c>
      <c r="AC9" s="366">
        <v>0</v>
      </c>
      <c r="AD9" s="366">
        <v>9631.0297200000005</v>
      </c>
      <c r="AE9" s="178">
        <f t="shared" ref="AE9:AE33" si="4">(AC9+AD9)</f>
        <v>9631.0297200000005</v>
      </c>
    </row>
    <row r="10" spans="1:31" s="178" customFormat="1" x14ac:dyDescent="0.25">
      <c r="A10" s="103" t="s">
        <v>154</v>
      </c>
      <c r="B10" s="364"/>
      <c r="C10" s="364"/>
      <c r="D10" s="28">
        <v>526550.67124000005</v>
      </c>
      <c r="E10" s="364"/>
      <c r="F10" s="364"/>
      <c r="G10" s="28">
        <v>252846.66383999999</v>
      </c>
      <c r="H10" s="364"/>
      <c r="I10" s="364"/>
      <c r="J10" s="28">
        <v>221145.6594</v>
      </c>
      <c r="K10" s="364"/>
      <c r="L10" s="364"/>
      <c r="M10" s="28">
        <v>49703.9</v>
      </c>
      <c r="N10" s="364"/>
      <c r="O10" s="364"/>
      <c r="P10" s="37">
        <v>2854.4479999999999</v>
      </c>
      <c r="Q10" s="366">
        <v>0</v>
      </c>
      <c r="R10" s="366">
        <v>709180.76410999999</v>
      </c>
      <c r="S10" s="178">
        <f t="shared" si="1"/>
        <v>709180.76410999999</v>
      </c>
      <c r="T10" s="366">
        <v>0</v>
      </c>
      <c r="U10" s="366">
        <v>424876.84155999997</v>
      </c>
      <c r="V10" s="178">
        <f t="shared" si="0"/>
        <v>424876.84155999997</v>
      </c>
      <c r="W10" s="366">
        <v>0</v>
      </c>
      <c r="X10" s="366">
        <v>242009.89355000001</v>
      </c>
      <c r="Y10" s="178">
        <f t="shared" si="2"/>
        <v>242009.89355000001</v>
      </c>
      <c r="Z10" s="366">
        <v>0</v>
      </c>
      <c r="AA10" s="366">
        <v>35306.9</v>
      </c>
      <c r="AB10" s="178">
        <f t="shared" si="3"/>
        <v>35306.9</v>
      </c>
      <c r="AC10" s="366">
        <v>0</v>
      </c>
      <c r="AD10" s="366">
        <v>6987.1289999999999</v>
      </c>
      <c r="AE10" s="178">
        <f t="shared" si="4"/>
        <v>6987.1289999999999</v>
      </c>
    </row>
    <row r="11" spans="1:31" s="178" customFormat="1" x14ac:dyDescent="0.25">
      <c r="A11" s="103" t="s">
        <v>155</v>
      </c>
      <c r="B11" s="364"/>
      <c r="C11" s="364"/>
      <c r="D11" s="28">
        <v>664059.83074</v>
      </c>
      <c r="E11" s="364"/>
      <c r="F11" s="364"/>
      <c r="G11" s="28">
        <v>271442.16048000002</v>
      </c>
      <c r="H11" s="364"/>
      <c r="I11" s="364"/>
      <c r="J11" s="28">
        <v>292091.22326</v>
      </c>
      <c r="K11" s="364"/>
      <c r="L11" s="364"/>
      <c r="M11" s="28">
        <v>95140.9</v>
      </c>
      <c r="N11" s="364"/>
      <c r="O11" s="364"/>
      <c r="P11" s="37">
        <v>5385.5469999999996</v>
      </c>
      <c r="Q11" s="366">
        <v>0</v>
      </c>
      <c r="R11" s="366">
        <v>683286.35843999998</v>
      </c>
      <c r="S11" s="178">
        <f t="shared" si="1"/>
        <v>683286.35843999998</v>
      </c>
      <c r="T11" s="366">
        <v>0</v>
      </c>
      <c r="U11" s="366">
        <v>309543.32812000002</v>
      </c>
      <c r="V11" s="178">
        <f t="shared" si="0"/>
        <v>309543.32812000002</v>
      </c>
      <c r="W11" s="366">
        <v>0</v>
      </c>
      <c r="X11" s="366">
        <v>307068.44532</v>
      </c>
      <c r="Y11" s="178">
        <f t="shared" si="2"/>
        <v>307068.44532</v>
      </c>
      <c r="Z11" s="366">
        <v>0</v>
      </c>
      <c r="AA11" s="366">
        <v>54290.1</v>
      </c>
      <c r="AB11" s="178">
        <f t="shared" si="3"/>
        <v>54290.1</v>
      </c>
      <c r="AC11" s="366">
        <v>0</v>
      </c>
      <c r="AD11" s="366">
        <v>12384.485000000001</v>
      </c>
      <c r="AE11" s="178">
        <f t="shared" si="4"/>
        <v>12384.485000000001</v>
      </c>
    </row>
    <row r="12" spans="1:31" s="178" customFormat="1" x14ac:dyDescent="0.25">
      <c r="A12" s="103" t="s">
        <v>156</v>
      </c>
      <c r="B12" s="364"/>
      <c r="C12" s="364"/>
      <c r="D12" s="28">
        <v>635691.57385000004</v>
      </c>
      <c r="E12" s="364"/>
      <c r="F12" s="364"/>
      <c r="G12" s="28">
        <v>245670.49651999999</v>
      </c>
      <c r="H12" s="364"/>
      <c r="I12" s="364"/>
      <c r="J12" s="28">
        <v>293104.22651000001</v>
      </c>
      <c r="K12" s="364"/>
      <c r="L12" s="364"/>
      <c r="M12" s="28">
        <v>83660.600000000006</v>
      </c>
      <c r="N12" s="364"/>
      <c r="O12" s="364"/>
      <c r="P12" s="37">
        <v>13256.250819999999</v>
      </c>
      <c r="Q12" s="366">
        <v>0</v>
      </c>
      <c r="R12" s="366">
        <v>692149.22884999996</v>
      </c>
      <c r="S12" s="178">
        <f t="shared" si="1"/>
        <v>692149.22884999996</v>
      </c>
      <c r="T12" s="366">
        <v>0</v>
      </c>
      <c r="U12" s="366">
        <v>297542.20805999998</v>
      </c>
      <c r="V12" s="178">
        <f t="shared" si="0"/>
        <v>297542.20805999998</v>
      </c>
      <c r="W12" s="366">
        <v>0</v>
      </c>
      <c r="X12" s="366">
        <v>309521.60632000002</v>
      </c>
      <c r="Y12" s="178">
        <f t="shared" si="2"/>
        <v>309521.60632000002</v>
      </c>
      <c r="Z12" s="366">
        <v>0</v>
      </c>
      <c r="AA12" s="366">
        <v>77169.885999999999</v>
      </c>
      <c r="AB12" s="178">
        <f t="shared" si="3"/>
        <v>77169.885999999999</v>
      </c>
      <c r="AC12" s="366">
        <v>0</v>
      </c>
      <c r="AD12" s="366">
        <v>7915.5284700000002</v>
      </c>
      <c r="AE12" s="178">
        <f t="shared" si="4"/>
        <v>7915.5284700000002</v>
      </c>
    </row>
    <row r="13" spans="1:31" s="178" customFormat="1" x14ac:dyDescent="0.25">
      <c r="A13" s="103" t="s">
        <v>157</v>
      </c>
      <c r="B13" s="364"/>
      <c r="C13" s="364"/>
      <c r="D13" s="28">
        <v>726104.05996999994</v>
      </c>
      <c r="E13" s="364"/>
      <c r="F13" s="364"/>
      <c r="G13" s="28">
        <v>221629.23897000001</v>
      </c>
      <c r="H13" s="364"/>
      <c r="I13" s="364"/>
      <c r="J13" s="28">
        <v>399662.62400000001</v>
      </c>
      <c r="K13" s="364"/>
      <c r="L13" s="364"/>
      <c r="M13" s="28">
        <v>100410.9</v>
      </c>
      <c r="N13" s="364"/>
      <c r="O13" s="364"/>
      <c r="P13" s="37">
        <v>4401.2969999999996</v>
      </c>
      <c r="Q13" s="366">
        <v>0</v>
      </c>
      <c r="R13" s="366">
        <v>752848.33394000004</v>
      </c>
      <c r="S13" s="178">
        <f t="shared" si="1"/>
        <v>752848.33394000004</v>
      </c>
      <c r="T13" s="366">
        <v>0</v>
      </c>
      <c r="U13" s="366">
        <v>242734.60180999999</v>
      </c>
      <c r="V13" s="178">
        <f t="shared" si="0"/>
        <v>242734.60180999999</v>
      </c>
      <c r="W13" s="366">
        <v>0</v>
      </c>
      <c r="X13" s="366">
        <v>423259.52713</v>
      </c>
      <c r="Y13" s="178">
        <f t="shared" si="2"/>
        <v>423259.52713</v>
      </c>
      <c r="Z13" s="366">
        <v>0</v>
      </c>
      <c r="AA13" s="366">
        <v>77755.199999999997</v>
      </c>
      <c r="AB13" s="178">
        <f t="shared" si="3"/>
        <v>77755.199999999997</v>
      </c>
      <c r="AC13" s="366">
        <v>0</v>
      </c>
      <c r="AD13" s="366">
        <v>9099.0049999999992</v>
      </c>
      <c r="AE13" s="178">
        <f t="shared" si="4"/>
        <v>9099.0049999999992</v>
      </c>
    </row>
    <row r="14" spans="1:31" s="178" customFormat="1" x14ac:dyDescent="0.25">
      <c r="A14" s="103" t="s">
        <v>158</v>
      </c>
      <c r="B14" s="364"/>
      <c r="C14" s="364"/>
      <c r="D14" s="28">
        <v>581371.32947999996</v>
      </c>
      <c r="E14" s="364"/>
      <c r="F14" s="364"/>
      <c r="G14" s="28">
        <v>201191.25701</v>
      </c>
      <c r="H14" s="364"/>
      <c r="I14" s="364"/>
      <c r="J14" s="28">
        <v>277856.01282</v>
      </c>
      <c r="K14" s="364"/>
      <c r="L14" s="364"/>
      <c r="M14" s="28">
        <v>85657.9</v>
      </c>
      <c r="N14" s="364"/>
      <c r="O14" s="364"/>
      <c r="P14" s="37">
        <v>16666.159650000001</v>
      </c>
      <c r="Q14" s="366">
        <v>0</v>
      </c>
      <c r="R14" s="366">
        <v>762756.16538000002</v>
      </c>
      <c r="S14" s="178">
        <f t="shared" si="1"/>
        <v>762756.16538000002</v>
      </c>
      <c r="T14" s="366">
        <v>0</v>
      </c>
      <c r="U14" s="366">
        <v>321033.53807000001</v>
      </c>
      <c r="V14" s="178">
        <f t="shared" si="0"/>
        <v>321033.53807000001</v>
      </c>
      <c r="W14" s="366">
        <v>0</v>
      </c>
      <c r="X14" s="366">
        <v>288318.68633</v>
      </c>
      <c r="Y14" s="178">
        <f t="shared" si="2"/>
        <v>288318.68633</v>
      </c>
      <c r="Z14" s="366">
        <v>0</v>
      </c>
      <c r="AA14" s="366">
        <v>49927.5</v>
      </c>
      <c r="AB14" s="178">
        <f t="shared" si="3"/>
        <v>49927.5</v>
      </c>
      <c r="AC14" s="366">
        <v>0</v>
      </c>
      <c r="AD14" s="366">
        <v>103476.44098</v>
      </c>
      <c r="AE14" s="178">
        <f t="shared" si="4"/>
        <v>103476.44098</v>
      </c>
    </row>
    <row r="15" spans="1:31" s="178" customFormat="1" x14ac:dyDescent="0.25">
      <c r="A15" s="103" t="s">
        <v>159</v>
      </c>
      <c r="B15" s="364"/>
      <c r="C15" s="364"/>
      <c r="D15" s="28">
        <v>611723.55940999999</v>
      </c>
      <c r="E15" s="364"/>
      <c r="F15" s="364"/>
      <c r="G15" s="28">
        <v>278845.21198000002</v>
      </c>
      <c r="H15" s="364"/>
      <c r="I15" s="364"/>
      <c r="J15" s="28">
        <v>271125.99293000001</v>
      </c>
      <c r="K15" s="364"/>
      <c r="L15" s="364"/>
      <c r="M15" s="28">
        <v>59405.1</v>
      </c>
      <c r="N15" s="364"/>
      <c r="O15" s="364"/>
      <c r="P15" s="37">
        <v>2347.2545</v>
      </c>
      <c r="Q15" s="366">
        <v>0</v>
      </c>
      <c r="R15" s="366">
        <v>713142.41910000006</v>
      </c>
      <c r="S15" s="178">
        <f t="shared" si="1"/>
        <v>713142.41910000006</v>
      </c>
      <c r="T15" s="366">
        <v>0</v>
      </c>
      <c r="U15" s="366">
        <v>380229.05080000003</v>
      </c>
      <c r="V15" s="178">
        <f t="shared" si="0"/>
        <v>380229.05080000003</v>
      </c>
      <c r="W15" s="366">
        <v>0</v>
      </c>
      <c r="X15" s="366">
        <v>282580.96230000001</v>
      </c>
      <c r="Y15" s="178">
        <f t="shared" si="2"/>
        <v>282580.96230000001</v>
      </c>
      <c r="Z15" s="366">
        <v>0</v>
      </c>
      <c r="AA15" s="366">
        <v>39042.1</v>
      </c>
      <c r="AB15" s="178">
        <f t="shared" si="3"/>
        <v>39042.1</v>
      </c>
      <c r="AC15" s="366">
        <v>0</v>
      </c>
      <c r="AD15" s="366">
        <v>11290.306</v>
      </c>
      <c r="AE15" s="178">
        <f t="shared" si="4"/>
        <v>11290.306</v>
      </c>
    </row>
    <row r="16" spans="1:31" s="178" customFormat="1" x14ac:dyDescent="0.25">
      <c r="A16" s="103" t="s">
        <v>160</v>
      </c>
      <c r="B16" s="364"/>
      <c r="C16" s="364"/>
      <c r="D16" s="28">
        <v>610541.50552000001</v>
      </c>
      <c r="E16" s="364"/>
      <c r="F16" s="364"/>
      <c r="G16" s="28">
        <v>284560.76052000001</v>
      </c>
      <c r="H16" s="364"/>
      <c r="I16" s="364"/>
      <c r="J16" s="28">
        <v>304119.81699999998</v>
      </c>
      <c r="K16" s="364"/>
      <c r="L16" s="364"/>
      <c r="M16" s="28">
        <v>19445.900000000001</v>
      </c>
      <c r="N16" s="364"/>
      <c r="O16" s="364"/>
      <c r="P16" s="37">
        <v>2415.0279999999998</v>
      </c>
      <c r="Q16" s="366">
        <v>0</v>
      </c>
      <c r="R16" s="366">
        <v>607366.71282999997</v>
      </c>
      <c r="S16" s="178">
        <f t="shared" si="1"/>
        <v>607366.71282999997</v>
      </c>
      <c r="T16" s="366">
        <v>0</v>
      </c>
      <c r="U16" s="366">
        <v>244169.52215</v>
      </c>
      <c r="V16" s="178">
        <f t="shared" si="0"/>
        <v>244169.52215</v>
      </c>
      <c r="W16" s="366">
        <v>0</v>
      </c>
      <c r="X16" s="366">
        <v>333348.96299000003</v>
      </c>
      <c r="Y16" s="178">
        <f t="shared" si="2"/>
        <v>333348.96299000003</v>
      </c>
      <c r="Z16" s="366">
        <v>0</v>
      </c>
      <c r="AA16" s="366">
        <v>9924.7999999999993</v>
      </c>
      <c r="AB16" s="178">
        <f t="shared" si="3"/>
        <v>9924.7999999999993</v>
      </c>
      <c r="AC16" s="366">
        <v>0</v>
      </c>
      <c r="AD16" s="366">
        <v>19923.42769</v>
      </c>
      <c r="AE16" s="178">
        <f t="shared" si="4"/>
        <v>19923.42769</v>
      </c>
    </row>
    <row r="17" spans="1:31" s="178" customFormat="1" x14ac:dyDescent="0.25">
      <c r="A17" s="103" t="s">
        <v>161</v>
      </c>
      <c r="B17" s="364"/>
      <c r="C17" s="364"/>
      <c r="D17" s="28">
        <v>440696.60037</v>
      </c>
      <c r="E17" s="364"/>
      <c r="F17" s="364"/>
      <c r="G17" s="28">
        <v>181057.11855000001</v>
      </c>
      <c r="H17" s="364"/>
      <c r="I17" s="364"/>
      <c r="J17" s="28">
        <v>193155.74236</v>
      </c>
      <c r="K17" s="364"/>
      <c r="L17" s="364"/>
      <c r="M17" s="28">
        <v>61609.2</v>
      </c>
      <c r="N17" s="364"/>
      <c r="O17" s="364"/>
      <c r="P17" s="37">
        <v>4874.53946</v>
      </c>
      <c r="Q17" s="366">
        <v>0</v>
      </c>
      <c r="R17" s="366">
        <v>462602.52567</v>
      </c>
      <c r="S17" s="178">
        <f t="shared" si="1"/>
        <v>462602.52567</v>
      </c>
      <c r="T17" s="366">
        <v>0</v>
      </c>
      <c r="U17" s="366">
        <v>201522.42360000001</v>
      </c>
      <c r="V17" s="178">
        <f t="shared" si="0"/>
        <v>201522.42360000001</v>
      </c>
      <c r="W17" s="366">
        <v>0</v>
      </c>
      <c r="X17" s="366">
        <v>207901.26267</v>
      </c>
      <c r="Y17" s="178">
        <f t="shared" si="2"/>
        <v>207901.26267</v>
      </c>
      <c r="Z17" s="366">
        <v>0</v>
      </c>
      <c r="AA17" s="366">
        <v>48545.5</v>
      </c>
      <c r="AB17" s="178">
        <f t="shared" si="3"/>
        <v>48545.5</v>
      </c>
      <c r="AC17" s="366">
        <v>0</v>
      </c>
      <c r="AD17" s="366">
        <v>4633.3393999999998</v>
      </c>
      <c r="AE17" s="178">
        <f t="shared" si="4"/>
        <v>4633.3393999999998</v>
      </c>
    </row>
    <row r="18" spans="1:31" s="178" customFormat="1" x14ac:dyDescent="0.25">
      <c r="A18" s="103" t="s">
        <v>162</v>
      </c>
      <c r="B18" s="364"/>
      <c r="C18" s="364"/>
      <c r="D18" s="28">
        <v>539646.59415999998</v>
      </c>
      <c r="E18" s="364"/>
      <c r="F18" s="364"/>
      <c r="G18" s="28">
        <v>249969.40997000001</v>
      </c>
      <c r="H18" s="364"/>
      <c r="I18" s="364"/>
      <c r="J18" s="28">
        <v>217253.54592</v>
      </c>
      <c r="K18" s="364"/>
      <c r="L18" s="364"/>
      <c r="M18" s="28">
        <v>19671.400000000001</v>
      </c>
      <c r="N18" s="364"/>
      <c r="O18" s="364"/>
      <c r="P18" s="37">
        <v>52752.238270000002</v>
      </c>
      <c r="Q18" s="366">
        <v>0</v>
      </c>
      <c r="R18" s="366">
        <v>730758.02151999995</v>
      </c>
      <c r="S18" s="178">
        <f t="shared" si="1"/>
        <v>730758.02151999995</v>
      </c>
      <c r="T18" s="366">
        <v>0</v>
      </c>
      <c r="U18" s="366">
        <v>490293.23314999999</v>
      </c>
      <c r="V18" s="178">
        <f t="shared" si="0"/>
        <v>490293.23314999999</v>
      </c>
      <c r="W18" s="366">
        <v>0</v>
      </c>
      <c r="X18" s="366">
        <v>213825.31117999999</v>
      </c>
      <c r="Y18" s="178">
        <f t="shared" si="2"/>
        <v>213825.31117999999</v>
      </c>
      <c r="Z18" s="366">
        <v>0</v>
      </c>
      <c r="AA18" s="366">
        <v>5800</v>
      </c>
      <c r="AB18" s="178">
        <f t="shared" si="3"/>
        <v>5800</v>
      </c>
      <c r="AC18" s="366">
        <v>0</v>
      </c>
      <c r="AD18" s="366">
        <v>20839.477190000001</v>
      </c>
      <c r="AE18" s="178">
        <f t="shared" si="4"/>
        <v>20839.477190000001</v>
      </c>
    </row>
    <row r="19" spans="1:31" s="178" customFormat="1" x14ac:dyDescent="0.25">
      <c r="A19" s="103" t="s">
        <v>163</v>
      </c>
      <c r="B19" s="364"/>
      <c r="C19" s="364"/>
      <c r="D19" s="28">
        <v>716079.13116999995</v>
      </c>
      <c r="E19" s="364"/>
      <c r="F19" s="364"/>
      <c r="G19" s="28">
        <v>216750.92369</v>
      </c>
      <c r="H19" s="364"/>
      <c r="I19" s="364"/>
      <c r="J19" s="28">
        <v>360931.90048000001</v>
      </c>
      <c r="K19" s="364"/>
      <c r="L19" s="364"/>
      <c r="M19" s="28">
        <v>131172.1</v>
      </c>
      <c r="N19" s="364"/>
      <c r="O19" s="364"/>
      <c r="P19" s="37">
        <v>7224.2070000000003</v>
      </c>
      <c r="Q19" s="366">
        <v>0</v>
      </c>
      <c r="R19" s="366">
        <v>1218082.3523200001</v>
      </c>
      <c r="S19" s="178">
        <f t="shared" si="1"/>
        <v>1218082.3523200001</v>
      </c>
      <c r="T19" s="366">
        <v>0</v>
      </c>
      <c r="U19" s="366">
        <v>701361.96253000002</v>
      </c>
      <c r="V19" s="178">
        <f t="shared" si="0"/>
        <v>701361.96253000002</v>
      </c>
      <c r="W19" s="366">
        <v>0</v>
      </c>
      <c r="X19" s="366">
        <v>400066.77879000001</v>
      </c>
      <c r="Y19" s="178">
        <f t="shared" si="2"/>
        <v>400066.77879000001</v>
      </c>
      <c r="Z19" s="366">
        <v>0</v>
      </c>
      <c r="AA19" s="366">
        <v>64022.5</v>
      </c>
      <c r="AB19" s="178">
        <f t="shared" si="3"/>
        <v>64022.5</v>
      </c>
      <c r="AC19" s="366">
        <v>0</v>
      </c>
      <c r="AD19" s="366">
        <v>52631.110999999997</v>
      </c>
      <c r="AE19" s="178">
        <f t="shared" si="4"/>
        <v>52631.110999999997</v>
      </c>
    </row>
    <row r="20" spans="1:31" s="178" customFormat="1" x14ac:dyDescent="0.25">
      <c r="A20" s="103" t="s">
        <v>164</v>
      </c>
      <c r="B20" s="364"/>
      <c r="C20" s="364"/>
      <c r="D20" s="28">
        <v>795982.24036000005</v>
      </c>
      <c r="E20" s="364"/>
      <c r="F20" s="364"/>
      <c r="G20" s="28">
        <v>223518.82333000001</v>
      </c>
      <c r="H20" s="364"/>
      <c r="I20" s="364"/>
      <c r="J20" s="28">
        <v>439806.00003</v>
      </c>
      <c r="K20" s="364"/>
      <c r="L20" s="364"/>
      <c r="M20" s="28">
        <v>124685.8</v>
      </c>
      <c r="N20" s="364"/>
      <c r="O20" s="364"/>
      <c r="P20" s="37">
        <v>7971.6170000000002</v>
      </c>
      <c r="Q20" s="366">
        <v>0</v>
      </c>
      <c r="R20" s="366">
        <v>842408.64740999998</v>
      </c>
      <c r="S20" s="178">
        <f t="shared" si="1"/>
        <v>842408.64740999998</v>
      </c>
      <c r="T20" s="366">
        <v>0</v>
      </c>
      <c r="U20" s="366">
        <v>242918.95483</v>
      </c>
      <c r="V20" s="178">
        <f t="shared" si="0"/>
        <v>242918.95483</v>
      </c>
      <c r="W20" s="366">
        <v>0</v>
      </c>
      <c r="X20" s="366">
        <v>452071.78258</v>
      </c>
      <c r="Y20" s="178">
        <f t="shared" si="2"/>
        <v>452071.78258</v>
      </c>
      <c r="Z20" s="366">
        <v>0</v>
      </c>
      <c r="AA20" s="366">
        <v>132553.5</v>
      </c>
      <c r="AB20" s="178">
        <f t="shared" si="3"/>
        <v>132553.5</v>
      </c>
      <c r="AC20" s="366">
        <v>0</v>
      </c>
      <c r="AD20" s="366">
        <v>14864.41</v>
      </c>
      <c r="AE20" s="178">
        <f t="shared" si="4"/>
        <v>14864.41</v>
      </c>
    </row>
    <row r="21" spans="1:31" s="178" customFormat="1" x14ac:dyDescent="0.25">
      <c r="A21" s="103" t="s">
        <v>165</v>
      </c>
      <c r="B21" s="364"/>
      <c r="C21" s="364"/>
      <c r="D21" s="28">
        <v>1204381.3093099999</v>
      </c>
      <c r="E21" s="364"/>
      <c r="F21" s="364"/>
      <c r="G21" s="28">
        <v>430085.18656</v>
      </c>
      <c r="H21" s="364"/>
      <c r="I21" s="364"/>
      <c r="J21" s="28">
        <v>584094.24520999996</v>
      </c>
      <c r="K21" s="364"/>
      <c r="L21" s="364"/>
      <c r="M21" s="28">
        <v>131783.29999999999</v>
      </c>
      <c r="N21" s="364"/>
      <c r="O21" s="364"/>
      <c r="P21" s="37">
        <v>58418.577539999998</v>
      </c>
      <c r="Q21" s="366">
        <v>0</v>
      </c>
      <c r="R21" s="366">
        <v>1316432.4772699999</v>
      </c>
      <c r="S21" s="178">
        <f t="shared" si="1"/>
        <v>1316432.4772699999</v>
      </c>
      <c r="T21" s="366">
        <v>0</v>
      </c>
      <c r="U21" s="366">
        <v>423242.49109999998</v>
      </c>
      <c r="V21" s="178">
        <f t="shared" si="0"/>
        <v>423242.49109999998</v>
      </c>
      <c r="W21" s="366">
        <v>0</v>
      </c>
      <c r="X21" s="366">
        <v>593683.34634000005</v>
      </c>
      <c r="Y21" s="178">
        <f t="shared" si="2"/>
        <v>593683.34634000005</v>
      </c>
      <c r="Z21" s="366">
        <v>0</v>
      </c>
      <c r="AA21" s="366">
        <v>114460.7</v>
      </c>
      <c r="AB21" s="178">
        <f t="shared" si="3"/>
        <v>114460.7</v>
      </c>
      <c r="AC21" s="366">
        <v>0</v>
      </c>
      <c r="AD21" s="366">
        <v>185045.93982999999</v>
      </c>
      <c r="AE21" s="178">
        <f t="shared" si="4"/>
        <v>185045.93982999999</v>
      </c>
    </row>
    <row r="22" spans="1:31" s="178" customFormat="1" x14ac:dyDescent="0.25">
      <c r="A22" s="103" t="s">
        <v>166</v>
      </c>
      <c r="B22" s="364"/>
      <c r="C22" s="364"/>
      <c r="D22" s="28">
        <v>945304.52278</v>
      </c>
      <c r="E22" s="364"/>
      <c r="F22" s="364"/>
      <c r="G22" s="28">
        <v>96598.948390000005</v>
      </c>
      <c r="H22" s="364"/>
      <c r="I22" s="364"/>
      <c r="J22" s="28">
        <v>642221.26739000005</v>
      </c>
      <c r="K22" s="364"/>
      <c r="L22" s="364"/>
      <c r="M22" s="28">
        <v>198538.4</v>
      </c>
      <c r="N22" s="364"/>
      <c r="O22" s="364"/>
      <c r="P22" s="37">
        <v>7945.9070000000002</v>
      </c>
      <c r="Q22" s="366">
        <v>0</v>
      </c>
      <c r="R22" s="366">
        <v>1023144.76624</v>
      </c>
      <c r="S22" s="178">
        <f t="shared" si="1"/>
        <v>1023144.76624</v>
      </c>
      <c r="T22" s="366">
        <v>0</v>
      </c>
      <c r="U22" s="366">
        <v>163957.47615</v>
      </c>
      <c r="V22" s="178">
        <f t="shared" si="0"/>
        <v>163957.47615</v>
      </c>
      <c r="W22" s="366">
        <v>0</v>
      </c>
      <c r="X22" s="366">
        <v>690532.90297000005</v>
      </c>
      <c r="Y22" s="178">
        <f t="shared" si="2"/>
        <v>690532.90297000005</v>
      </c>
      <c r="Z22" s="366">
        <v>0</v>
      </c>
      <c r="AA22" s="366">
        <v>132582.6</v>
      </c>
      <c r="AB22" s="178">
        <f t="shared" si="3"/>
        <v>132582.6</v>
      </c>
      <c r="AC22" s="366">
        <v>0</v>
      </c>
      <c r="AD22" s="366">
        <v>36071.787120000001</v>
      </c>
      <c r="AE22" s="178">
        <f t="shared" si="4"/>
        <v>36071.787120000001</v>
      </c>
    </row>
    <row r="23" spans="1:31" s="178" customFormat="1" x14ac:dyDescent="0.25">
      <c r="A23" s="103" t="s">
        <v>167</v>
      </c>
      <c r="B23" s="364"/>
      <c r="C23" s="364"/>
      <c r="D23" s="28">
        <v>918717.30793000001</v>
      </c>
      <c r="E23" s="364"/>
      <c r="F23" s="364"/>
      <c r="G23" s="28">
        <v>327438.42559</v>
      </c>
      <c r="H23" s="364"/>
      <c r="I23" s="364"/>
      <c r="J23" s="28">
        <v>455274.34596000001</v>
      </c>
      <c r="K23" s="364"/>
      <c r="L23" s="364"/>
      <c r="M23" s="28">
        <v>19622.7</v>
      </c>
      <c r="N23" s="364"/>
      <c r="O23" s="364"/>
      <c r="P23" s="37">
        <v>116381.83637999999</v>
      </c>
      <c r="Q23" s="366">
        <v>0</v>
      </c>
      <c r="R23" s="366">
        <v>1096893.18408</v>
      </c>
      <c r="S23" s="178">
        <f t="shared" si="1"/>
        <v>1096893.18408</v>
      </c>
      <c r="T23" s="366">
        <v>0</v>
      </c>
      <c r="U23" s="366">
        <v>540896.33840000001</v>
      </c>
      <c r="V23" s="178">
        <f t="shared" si="0"/>
        <v>540896.33840000001</v>
      </c>
      <c r="W23" s="366">
        <v>0</v>
      </c>
      <c r="X23" s="366">
        <v>479715.71367999999</v>
      </c>
      <c r="Y23" s="178">
        <f t="shared" si="2"/>
        <v>479715.71367999999</v>
      </c>
      <c r="Z23" s="366">
        <v>0</v>
      </c>
      <c r="AA23" s="366">
        <v>4300</v>
      </c>
      <c r="AB23" s="178">
        <f t="shared" si="3"/>
        <v>4300</v>
      </c>
      <c r="AC23" s="366">
        <v>0</v>
      </c>
      <c r="AD23" s="366">
        <v>71981.131999999998</v>
      </c>
      <c r="AE23" s="178">
        <f t="shared" si="4"/>
        <v>71981.131999999998</v>
      </c>
    </row>
    <row r="24" spans="1:31" s="178" customFormat="1" x14ac:dyDescent="0.25">
      <c r="A24" s="103" t="s">
        <v>168</v>
      </c>
      <c r="B24" s="364"/>
      <c r="C24" s="364"/>
      <c r="D24" s="28">
        <v>1143753.07996</v>
      </c>
      <c r="E24" s="364"/>
      <c r="F24" s="364"/>
      <c r="G24" s="28">
        <v>382286.81186000002</v>
      </c>
      <c r="H24" s="364"/>
      <c r="I24" s="364"/>
      <c r="J24" s="28">
        <v>667776.95282000001</v>
      </c>
      <c r="K24" s="364"/>
      <c r="L24" s="364"/>
      <c r="M24" s="28">
        <v>88129.3</v>
      </c>
      <c r="N24" s="364"/>
      <c r="O24" s="364"/>
      <c r="P24" s="37">
        <v>5560.0152799999996</v>
      </c>
      <c r="Q24" s="366">
        <v>0</v>
      </c>
      <c r="R24" s="366">
        <v>1440798.1897700001</v>
      </c>
      <c r="S24" s="178">
        <f t="shared" si="1"/>
        <v>1440798.1897700001</v>
      </c>
      <c r="T24" s="366">
        <v>0</v>
      </c>
      <c r="U24" s="366">
        <v>659037.87552</v>
      </c>
      <c r="V24" s="178">
        <f t="shared" si="0"/>
        <v>659037.87552</v>
      </c>
      <c r="W24" s="366">
        <v>0</v>
      </c>
      <c r="X24" s="366">
        <v>694477.60624999995</v>
      </c>
      <c r="Y24" s="178">
        <f t="shared" si="2"/>
        <v>694477.60624999995</v>
      </c>
      <c r="Z24" s="366">
        <v>0</v>
      </c>
      <c r="AA24" s="366">
        <v>74154.100000000006</v>
      </c>
      <c r="AB24" s="178">
        <f t="shared" si="3"/>
        <v>74154.100000000006</v>
      </c>
      <c r="AC24" s="366">
        <v>0</v>
      </c>
      <c r="AD24" s="366">
        <v>13128.608</v>
      </c>
      <c r="AE24" s="178">
        <f t="shared" si="4"/>
        <v>13128.608</v>
      </c>
    </row>
    <row r="25" spans="1:31" s="178" customFormat="1" x14ac:dyDescent="0.25">
      <c r="A25" s="103" t="s">
        <v>169</v>
      </c>
      <c r="B25" s="364"/>
      <c r="C25" s="364"/>
      <c r="D25" s="28">
        <v>865671.52541</v>
      </c>
      <c r="E25" s="364"/>
      <c r="F25" s="364"/>
      <c r="G25" s="28">
        <v>244967.56103000001</v>
      </c>
      <c r="H25" s="364"/>
      <c r="I25" s="364"/>
      <c r="J25" s="28">
        <v>501036.47451999999</v>
      </c>
      <c r="K25" s="364"/>
      <c r="L25" s="364"/>
      <c r="M25" s="28">
        <v>111360</v>
      </c>
      <c r="N25" s="364"/>
      <c r="O25" s="364"/>
      <c r="P25" s="37">
        <v>8307.4898599999997</v>
      </c>
      <c r="Q25" s="366">
        <v>0</v>
      </c>
      <c r="R25" s="366">
        <v>1031748.58682</v>
      </c>
      <c r="S25" s="178">
        <f t="shared" si="1"/>
        <v>1031748.58682</v>
      </c>
      <c r="T25" s="366">
        <v>0</v>
      </c>
      <c r="U25" s="366">
        <v>390447.56342000002</v>
      </c>
      <c r="V25" s="178">
        <f t="shared" si="0"/>
        <v>390447.56342000002</v>
      </c>
      <c r="W25" s="366">
        <v>0</v>
      </c>
      <c r="X25" s="366">
        <v>538034.89257999999</v>
      </c>
      <c r="Y25" s="178">
        <f t="shared" si="2"/>
        <v>538034.89257999999</v>
      </c>
      <c r="Z25" s="366">
        <v>0</v>
      </c>
      <c r="AA25" s="366">
        <v>81283.5</v>
      </c>
      <c r="AB25" s="178">
        <f t="shared" si="3"/>
        <v>81283.5</v>
      </c>
      <c r="AC25" s="366">
        <v>0</v>
      </c>
      <c r="AD25" s="366">
        <v>21982.630819999998</v>
      </c>
      <c r="AE25" s="178">
        <f t="shared" si="4"/>
        <v>21982.630819999998</v>
      </c>
    </row>
    <row r="26" spans="1:31" s="178" customFormat="1" x14ac:dyDescent="0.25">
      <c r="A26" s="103" t="s">
        <v>170</v>
      </c>
      <c r="B26" s="364"/>
      <c r="C26" s="364"/>
      <c r="D26" s="28">
        <v>428165.07773000002</v>
      </c>
      <c r="E26" s="364"/>
      <c r="F26" s="364"/>
      <c r="G26" s="28">
        <v>135755.94886999999</v>
      </c>
      <c r="H26" s="364"/>
      <c r="I26" s="364"/>
      <c r="J26" s="28">
        <v>208300.69678</v>
      </c>
      <c r="K26" s="364"/>
      <c r="L26" s="364"/>
      <c r="M26" s="28">
        <v>72179.199999999997</v>
      </c>
      <c r="N26" s="364"/>
      <c r="O26" s="364"/>
      <c r="P26" s="37">
        <v>11929.23208</v>
      </c>
      <c r="Q26" s="366">
        <v>0</v>
      </c>
      <c r="R26" s="366">
        <v>475556.68907999998</v>
      </c>
      <c r="S26" s="178">
        <f t="shared" si="1"/>
        <v>475556.68907999998</v>
      </c>
      <c r="T26" s="366">
        <v>0</v>
      </c>
      <c r="U26" s="366">
        <v>172358.58077999999</v>
      </c>
      <c r="V26" s="178">
        <f t="shared" si="0"/>
        <v>172358.58077999999</v>
      </c>
      <c r="W26" s="366">
        <v>0</v>
      </c>
      <c r="X26" s="366">
        <v>228283.88029999999</v>
      </c>
      <c r="Y26" s="178">
        <f t="shared" si="2"/>
        <v>228283.88029999999</v>
      </c>
      <c r="Z26" s="366">
        <v>0</v>
      </c>
      <c r="AA26" s="366">
        <v>62543.6</v>
      </c>
      <c r="AB26" s="178">
        <f t="shared" si="3"/>
        <v>62543.6</v>
      </c>
      <c r="AC26" s="366">
        <v>0</v>
      </c>
      <c r="AD26" s="366">
        <v>12370.628000000001</v>
      </c>
      <c r="AE26" s="178">
        <f t="shared" si="4"/>
        <v>12370.628000000001</v>
      </c>
    </row>
    <row r="27" spans="1:31" s="178" customFormat="1" x14ac:dyDescent="0.25">
      <c r="A27" s="103" t="s">
        <v>171</v>
      </c>
      <c r="B27" s="364"/>
      <c r="C27" s="364"/>
      <c r="D27" s="28">
        <v>5156387.6288900003</v>
      </c>
      <c r="E27" s="364"/>
      <c r="F27" s="364"/>
      <c r="G27" s="28">
        <v>777459.90607999999</v>
      </c>
      <c r="H27" s="364"/>
      <c r="I27" s="364"/>
      <c r="J27" s="28">
        <v>3585686.5452000001</v>
      </c>
      <c r="K27" s="364"/>
      <c r="L27" s="364"/>
      <c r="M27" s="28">
        <v>18434.3</v>
      </c>
      <c r="N27" s="364"/>
      <c r="O27" s="364"/>
      <c r="P27" s="37">
        <v>774806.87760999997</v>
      </c>
      <c r="Q27" s="366">
        <v>7203347.9994200002</v>
      </c>
      <c r="R27" s="366">
        <v>0</v>
      </c>
      <c r="S27" s="178">
        <f t="shared" si="1"/>
        <v>7203347.9994200002</v>
      </c>
      <c r="T27" s="366">
        <v>2193016.3851299998</v>
      </c>
      <c r="U27" s="366">
        <v>0</v>
      </c>
      <c r="V27" s="178">
        <f t="shared" si="0"/>
        <v>2193016.3851299998</v>
      </c>
      <c r="W27" s="366">
        <v>3850637.3662</v>
      </c>
      <c r="X27" s="366">
        <v>0</v>
      </c>
      <c r="Y27" s="178">
        <f t="shared" si="2"/>
        <v>3850637.3662</v>
      </c>
      <c r="Z27" s="366">
        <v>0</v>
      </c>
      <c r="AA27" s="366">
        <v>0</v>
      </c>
      <c r="AB27" s="178">
        <f t="shared" si="3"/>
        <v>0</v>
      </c>
      <c r="AC27" s="366">
        <v>1159694.2480899999</v>
      </c>
      <c r="AD27" s="366">
        <v>0</v>
      </c>
      <c r="AE27" s="178">
        <f t="shared" si="4"/>
        <v>1159694.2480899999</v>
      </c>
    </row>
    <row r="28" spans="1:31" s="178" customFormat="1" x14ac:dyDescent="0.25">
      <c r="A28" s="103" t="s">
        <v>172</v>
      </c>
      <c r="B28" s="364"/>
      <c r="C28" s="364"/>
      <c r="D28" s="28">
        <v>4074171.6908999998</v>
      </c>
      <c r="E28" s="364"/>
      <c r="F28" s="364"/>
      <c r="G28" s="28">
        <v>802216.24305000005</v>
      </c>
      <c r="H28" s="364"/>
      <c r="I28" s="364"/>
      <c r="J28" s="28">
        <v>2649694.2622600002</v>
      </c>
      <c r="K28" s="364"/>
      <c r="L28" s="364"/>
      <c r="M28" s="28">
        <v>20463.099999999999</v>
      </c>
      <c r="N28" s="364"/>
      <c r="O28" s="364"/>
      <c r="P28" s="37">
        <v>601798.08559000003</v>
      </c>
      <c r="Q28" s="366">
        <v>4701694.4807900004</v>
      </c>
      <c r="R28" s="366">
        <v>0</v>
      </c>
      <c r="S28" s="178">
        <f t="shared" si="1"/>
        <v>4701694.4807900004</v>
      </c>
      <c r="T28" s="366">
        <v>1021228.5131400001</v>
      </c>
      <c r="U28" s="366">
        <v>0</v>
      </c>
      <c r="V28" s="178">
        <f t="shared" si="0"/>
        <v>1021228.5131400001</v>
      </c>
      <c r="W28" s="366">
        <v>2903545.8450500001</v>
      </c>
      <c r="X28" s="366">
        <v>0</v>
      </c>
      <c r="Y28" s="178">
        <f t="shared" si="2"/>
        <v>2903545.8450500001</v>
      </c>
      <c r="Z28" s="366">
        <v>0</v>
      </c>
      <c r="AA28" s="366">
        <v>0</v>
      </c>
      <c r="AB28" s="178">
        <f t="shared" si="3"/>
        <v>0</v>
      </c>
      <c r="AC28" s="366">
        <v>776920.1226</v>
      </c>
      <c r="AD28" s="366">
        <v>0</v>
      </c>
      <c r="AE28" s="178">
        <f t="shared" si="4"/>
        <v>776920.1226</v>
      </c>
    </row>
    <row r="29" spans="1:31" s="178" customFormat="1" x14ac:dyDescent="0.25">
      <c r="A29" s="103" t="s">
        <v>173</v>
      </c>
      <c r="B29" s="364"/>
      <c r="C29" s="364"/>
      <c r="D29" s="28">
        <v>1640276.81963</v>
      </c>
      <c r="E29" s="364"/>
      <c r="F29" s="364"/>
      <c r="G29" s="28">
        <v>363984.92843000003</v>
      </c>
      <c r="H29" s="364"/>
      <c r="I29" s="364"/>
      <c r="J29" s="28">
        <v>901692.45194000006</v>
      </c>
      <c r="K29" s="364"/>
      <c r="L29" s="364"/>
      <c r="M29" s="28">
        <v>185810.1</v>
      </c>
      <c r="N29" s="364"/>
      <c r="O29" s="364"/>
      <c r="P29" s="37">
        <v>188789.33926000001</v>
      </c>
      <c r="Q29" s="366">
        <v>2454079.9701899998</v>
      </c>
      <c r="R29" s="366">
        <v>0</v>
      </c>
      <c r="S29" s="178">
        <f t="shared" si="1"/>
        <v>2454079.9701899998</v>
      </c>
      <c r="T29" s="366">
        <v>1161271.2169000001</v>
      </c>
      <c r="U29" s="366">
        <v>0</v>
      </c>
      <c r="V29" s="178">
        <f t="shared" si="0"/>
        <v>1161271.2169000001</v>
      </c>
      <c r="W29" s="366">
        <v>993685.07018000004</v>
      </c>
      <c r="X29" s="366">
        <v>0</v>
      </c>
      <c r="Y29" s="178">
        <f t="shared" si="2"/>
        <v>993685.07018000004</v>
      </c>
      <c r="Z29" s="366">
        <v>156529.60000000001</v>
      </c>
      <c r="AA29" s="366">
        <v>0</v>
      </c>
      <c r="AB29" s="178">
        <f t="shared" si="3"/>
        <v>156529.60000000001</v>
      </c>
      <c r="AC29" s="366">
        <v>142594.08311000001</v>
      </c>
      <c r="AD29" s="366">
        <v>0</v>
      </c>
      <c r="AE29" s="178">
        <f t="shared" si="4"/>
        <v>142594.08311000001</v>
      </c>
    </row>
    <row r="30" spans="1:31" s="178" customFormat="1" x14ac:dyDescent="0.25">
      <c r="A30" s="103" t="s">
        <v>174</v>
      </c>
      <c r="B30" s="364"/>
      <c r="C30" s="364"/>
      <c r="D30" s="28">
        <v>726752.58785000001</v>
      </c>
      <c r="E30" s="364"/>
      <c r="F30" s="364"/>
      <c r="G30" s="28">
        <v>93874.257610000001</v>
      </c>
      <c r="H30" s="364"/>
      <c r="I30" s="364"/>
      <c r="J30" s="28">
        <v>451493.56732999999</v>
      </c>
      <c r="K30" s="364"/>
      <c r="L30" s="364"/>
      <c r="M30" s="28">
        <v>119231.7</v>
      </c>
      <c r="N30" s="364"/>
      <c r="O30" s="364"/>
      <c r="P30" s="37">
        <v>62153.062910000001</v>
      </c>
      <c r="Q30" s="366">
        <v>1016079.75294</v>
      </c>
      <c r="R30" s="366">
        <v>0</v>
      </c>
      <c r="S30" s="178">
        <f t="shared" si="1"/>
        <v>1016079.75294</v>
      </c>
      <c r="T30" s="366">
        <v>248774.36215999999</v>
      </c>
      <c r="U30" s="366">
        <v>0</v>
      </c>
      <c r="V30" s="178">
        <f t="shared" si="0"/>
        <v>248774.36215999999</v>
      </c>
      <c r="W30" s="366">
        <v>507820.67012000002</v>
      </c>
      <c r="X30" s="366">
        <v>0</v>
      </c>
      <c r="Y30" s="178">
        <f t="shared" si="2"/>
        <v>507820.67012000002</v>
      </c>
      <c r="Z30" s="366">
        <v>167875.1</v>
      </c>
      <c r="AA30" s="366">
        <v>0</v>
      </c>
      <c r="AB30" s="178">
        <f t="shared" si="3"/>
        <v>167875.1</v>
      </c>
      <c r="AC30" s="366">
        <v>91609.62066</v>
      </c>
      <c r="AD30" s="366">
        <v>0</v>
      </c>
      <c r="AE30" s="178">
        <f t="shared" si="4"/>
        <v>91609.62066</v>
      </c>
    </row>
    <row r="31" spans="1:31" s="178" customFormat="1" x14ac:dyDescent="0.25">
      <c r="A31" s="103" t="s">
        <v>175</v>
      </c>
      <c r="B31" s="364"/>
      <c r="C31" s="364"/>
      <c r="D31" s="28">
        <v>803468.60634000006</v>
      </c>
      <c r="E31" s="364"/>
      <c r="F31" s="364"/>
      <c r="G31" s="28">
        <v>130938.61663</v>
      </c>
      <c r="H31" s="364"/>
      <c r="I31" s="364"/>
      <c r="J31" s="28">
        <v>490296.85570999997</v>
      </c>
      <c r="K31" s="364"/>
      <c r="L31" s="364"/>
      <c r="M31" s="28">
        <v>177629.6</v>
      </c>
      <c r="N31" s="364"/>
      <c r="O31" s="364"/>
      <c r="P31" s="37">
        <v>4603.5339999999997</v>
      </c>
      <c r="Q31" s="366">
        <v>720048.33267000003</v>
      </c>
      <c r="R31" s="366">
        <v>0</v>
      </c>
      <c r="S31" s="178">
        <f t="shared" si="1"/>
        <v>720048.33267000003</v>
      </c>
      <c r="T31" s="366">
        <v>182056.06531000001</v>
      </c>
      <c r="U31" s="366">
        <v>0</v>
      </c>
      <c r="V31" s="178">
        <f t="shared" si="0"/>
        <v>182056.06531000001</v>
      </c>
      <c r="W31" s="366">
        <v>513888.00135999999</v>
      </c>
      <c r="X31" s="366">
        <v>0</v>
      </c>
      <c r="Y31" s="178">
        <f t="shared" si="2"/>
        <v>513888.00135999999</v>
      </c>
      <c r="Z31" s="366">
        <v>22945.200000000001</v>
      </c>
      <c r="AA31" s="366">
        <v>0</v>
      </c>
      <c r="AB31" s="178">
        <f t="shared" si="3"/>
        <v>22945.200000000001</v>
      </c>
      <c r="AC31" s="366">
        <v>1159.066</v>
      </c>
      <c r="AD31" s="366">
        <v>0</v>
      </c>
      <c r="AE31" s="178">
        <f t="shared" si="4"/>
        <v>1159.066</v>
      </c>
    </row>
    <row r="32" spans="1:31" s="178" customFormat="1" x14ac:dyDescent="0.25">
      <c r="A32" s="103" t="s">
        <v>176</v>
      </c>
      <c r="B32" s="364"/>
      <c r="C32" s="364"/>
      <c r="D32" s="28">
        <v>1305703.1767599999</v>
      </c>
      <c r="E32" s="364"/>
      <c r="F32" s="364"/>
      <c r="G32" s="28">
        <v>681000.47375</v>
      </c>
      <c r="H32" s="364"/>
      <c r="I32" s="364"/>
      <c r="J32" s="28">
        <v>364937.00101000001</v>
      </c>
      <c r="K32" s="364"/>
      <c r="L32" s="364"/>
      <c r="M32" s="28">
        <v>251842.8</v>
      </c>
      <c r="N32" s="364"/>
      <c r="O32" s="364"/>
      <c r="P32" s="37">
        <v>7922.902</v>
      </c>
      <c r="Q32" s="366">
        <v>1236084.01355</v>
      </c>
      <c r="R32" s="366">
        <v>0</v>
      </c>
      <c r="S32" s="178">
        <f t="shared" si="1"/>
        <v>1236084.01355</v>
      </c>
      <c r="T32" s="366">
        <v>693180.03885999997</v>
      </c>
      <c r="U32" s="366">
        <v>0</v>
      </c>
      <c r="V32" s="178">
        <f t="shared" si="0"/>
        <v>693180.03885999997</v>
      </c>
      <c r="W32" s="366">
        <v>371291.21068999998</v>
      </c>
      <c r="X32" s="366">
        <v>0</v>
      </c>
      <c r="Y32" s="178">
        <f t="shared" si="2"/>
        <v>371291.21068999998</v>
      </c>
      <c r="Z32" s="366">
        <v>165146</v>
      </c>
      <c r="AA32" s="366">
        <v>0</v>
      </c>
      <c r="AB32" s="178">
        <f t="shared" si="3"/>
        <v>165146</v>
      </c>
      <c r="AC32" s="366">
        <v>6466.7640000000001</v>
      </c>
      <c r="AD32" s="366">
        <v>0</v>
      </c>
      <c r="AE32" s="178">
        <f t="shared" si="4"/>
        <v>6466.7640000000001</v>
      </c>
    </row>
    <row r="33" spans="1:31" s="178" customFormat="1" x14ac:dyDescent="0.25">
      <c r="A33" s="103" t="s">
        <v>177</v>
      </c>
      <c r="B33" s="364"/>
      <c r="C33" s="364"/>
      <c r="D33" s="28">
        <v>10968.634110000001</v>
      </c>
      <c r="E33" s="364"/>
      <c r="F33" s="364"/>
      <c r="G33" s="28">
        <v>156</v>
      </c>
      <c r="H33" s="364"/>
      <c r="I33" s="364"/>
      <c r="J33" s="28">
        <v>6981.7341100000003</v>
      </c>
      <c r="K33" s="364"/>
      <c r="L33" s="364"/>
      <c r="M33" s="28">
        <v>3781.7</v>
      </c>
      <c r="N33" s="364"/>
      <c r="O33" s="364"/>
      <c r="P33" s="37">
        <v>49.2</v>
      </c>
      <c r="Q33" s="366">
        <v>8632.3919499999993</v>
      </c>
      <c r="R33" s="366">
        <v>0</v>
      </c>
      <c r="S33" s="178">
        <f t="shared" si="1"/>
        <v>8632.3919499999993</v>
      </c>
      <c r="T33" s="366">
        <v>0</v>
      </c>
      <c r="U33" s="366">
        <v>0</v>
      </c>
      <c r="V33" s="178">
        <f t="shared" si="0"/>
        <v>0</v>
      </c>
      <c r="W33" s="366">
        <v>8632.3919499999993</v>
      </c>
      <c r="X33" s="366">
        <v>0</v>
      </c>
      <c r="Y33" s="178">
        <f t="shared" si="2"/>
        <v>8632.3919499999993</v>
      </c>
      <c r="Z33" s="366">
        <v>0</v>
      </c>
      <c r="AA33" s="366">
        <v>0</v>
      </c>
      <c r="AB33" s="178">
        <f t="shared" si="3"/>
        <v>0</v>
      </c>
      <c r="AC33" s="366">
        <v>0</v>
      </c>
      <c r="AD33" s="366">
        <v>0</v>
      </c>
      <c r="AE33" s="178">
        <f t="shared" si="4"/>
        <v>0</v>
      </c>
    </row>
    <row r="34" spans="1:31" s="199" customFormat="1" ht="13.8" thickBot="1" x14ac:dyDescent="0.3">
      <c r="A34" s="197" t="s">
        <v>431</v>
      </c>
      <c r="B34" s="194">
        <f t="shared" ref="B34:AE34" si="5">SUM(B8:B33)</f>
        <v>0</v>
      </c>
      <c r="C34" s="194">
        <f t="shared" si="5"/>
        <v>0</v>
      </c>
      <c r="D34" s="194">
        <f t="shared" si="5"/>
        <v>28029228.720239997</v>
      </c>
      <c r="E34" s="194">
        <f t="shared" si="5"/>
        <v>0</v>
      </c>
      <c r="F34" s="194">
        <f t="shared" si="5"/>
        <v>0</v>
      </c>
      <c r="G34" s="194">
        <f t="shared" si="5"/>
        <v>7689198.0676600011</v>
      </c>
      <c r="H34" s="194">
        <f t="shared" si="5"/>
        <v>0</v>
      </c>
      <c r="I34" s="194">
        <f t="shared" si="5"/>
        <v>0</v>
      </c>
      <c r="J34" s="194">
        <f t="shared" si="5"/>
        <v>15892289.137969999</v>
      </c>
      <c r="K34" s="194">
        <f t="shared" si="5"/>
        <v>0</v>
      </c>
      <c r="L34" s="194">
        <f t="shared" si="5"/>
        <v>0</v>
      </c>
      <c r="M34" s="194">
        <f t="shared" si="5"/>
        <v>2467534.7489999998</v>
      </c>
      <c r="N34" s="194">
        <f t="shared" si="5"/>
        <v>0</v>
      </c>
      <c r="O34" s="194">
        <f t="shared" si="5"/>
        <v>0</v>
      </c>
      <c r="P34" s="195">
        <f t="shared" si="5"/>
        <v>1980206.7656100001</v>
      </c>
      <c r="Q34" s="367">
        <f t="shared" si="5"/>
        <v>17339966.941509999</v>
      </c>
      <c r="R34" s="367">
        <f t="shared" si="5"/>
        <v>16860818.803210001</v>
      </c>
      <c r="S34" s="195">
        <f t="shared" si="5"/>
        <v>34200785.744719997</v>
      </c>
      <c r="T34" s="367">
        <f t="shared" si="5"/>
        <v>5499526.5815000003</v>
      </c>
      <c r="U34" s="367">
        <f t="shared" si="5"/>
        <v>7127250.0892400006</v>
      </c>
      <c r="V34" s="195">
        <f>SUM(V8:V33)</f>
        <v>12626776.670740001</v>
      </c>
      <c r="W34" s="367">
        <f t="shared" si="5"/>
        <v>9149500.5555499978</v>
      </c>
      <c r="X34" s="367">
        <f t="shared" si="5"/>
        <v>7846172.23575</v>
      </c>
      <c r="Y34" s="195">
        <f t="shared" si="5"/>
        <v>16995672.791300002</v>
      </c>
      <c r="Z34" s="367">
        <f t="shared" si="5"/>
        <v>512495.9</v>
      </c>
      <c r="AA34" s="367">
        <f t="shared" si="5"/>
        <v>1258064.1860000002</v>
      </c>
      <c r="AB34" s="195">
        <f t="shared" si="5"/>
        <v>1770560.0860000004</v>
      </c>
      <c r="AC34" s="367">
        <f t="shared" si="5"/>
        <v>2178443.9044599999</v>
      </c>
      <c r="AD34" s="367">
        <f t="shared" si="5"/>
        <v>629332.29221999994</v>
      </c>
      <c r="AE34" s="195">
        <f t="shared" si="5"/>
        <v>2807776.1966800001</v>
      </c>
    </row>
    <row r="35" spans="1:31" ht="13.8" thickTop="1" x14ac:dyDescent="0.25">
      <c r="D35" s="181">
        <f>D34-G34-J34-M34-P34</f>
        <v>-1.862645149230957E-9</v>
      </c>
      <c r="S35" s="181">
        <f>S34-V34-Y34-AB34-AE34</f>
        <v>-6.5192580223083496E-9</v>
      </c>
    </row>
    <row r="36" spans="1:31" x14ac:dyDescent="0.25">
      <c r="D36" s="181">
        <f>'2_Конс_20 к 19'!D49*1000</f>
        <v>28029228.720240001</v>
      </c>
      <c r="S36" s="181">
        <f>'1_Конс.'!L31/1000</f>
        <v>34200785.744720004</v>
      </c>
    </row>
    <row r="37" spans="1:31" x14ac:dyDescent="0.25">
      <c r="D37" s="181">
        <f>D36-D34</f>
        <v>0</v>
      </c>
      <c r="S37" s="181">
        <f>S36-S34</f>
        <v>0</v>
      </c>
    </row>
  </sheetData>
  <autoFilter ref="A7:AE7"/>
  <mergeCells count="16">
    <mergeCell ref="W5:Y5"/>
    <mergeCell ref="Z5:AB5"/>
    <mergeCell ref="AC5:AE5"/>
    <mergeCell ref="E5:G5"/>
    <mergeCell ref="H5:J5"/>
    <mergeCell ref="K5:M5"/>
    <mergeCell ref="N5:P5"/>
    <mergeCell ref="Q4:R5"/>
    <mergeCell ref="S4:S6"/>
    <mergeCell ref="T4:AE4"/>
    <mergeCell ref="T5:V5"/>
    <mergeCell ref="A1:P1"/>
    <mergeCell ref="A4:A6"/>
    <mergeCell ref="B4:C5"/>
    <mergeCell ref="D4:D6"/>
    <mergeCell ref="E4:P4"/>
  </mergeCells>
  <pageMargins left="0" right="0" top="0.74803149606299213" bottom="0.74803149606299213" header="0.31496062992125984" footer="0.31496062992125984"/>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200"/>
  <sheetViews>
    <sheetView zoomScaleNormal="100" workbookViewId="0">
      <pane xSplit="1" ySplit="8" topLeftCell="B188" activePane="bottomRight" state="frozen"/>
      <selection pane="topRight" activeCell="B1" sqref="B1"/>
      <selection pane="bottomLeft" activeCell="A9" sqref="A9"/>
      <selection pane="bottomRight" activeCell="D6" sqref="D6:D7"/>
    </sheetView>
  </sheetViews>
  <sheetFormatPr defaultColWidth="9.109375" defaultRowHeight="13.2" x14ac:dyDescent="0.25"/>
  <cols>
    <col min="1" max="1" width="50.33203125" style="1" customWidth="1"/>
    <col min="2" max="2" width="10" style="6" customWidth="1"/>
    <col min="3" max="3" width="9.6640625" style="6" bestFit="1" customWidth="1"/>
    <col min="4" max="4" width="9.33203125" style="6" customWidth="1"/>
    <col min="5" max="5" width="10.109375" style="6" bestFit="1" customWidth="1"/>
    <col min="6" max="6" width="9.5546875" style="6" customWidth="1"/>
    <col min="7" max="8" width="9.44140625" style="6" customWidth="1"/>
    <col min="9" max="9" width="9" style="6" customWidth="1"/>
    <col min="10" max="10" width="9.33203125" style="6" customWidth="1"/>
    <col min="11" max="11" width="9" style="6" customWidth="1"/>
    <col min="12" max="13" width="8.5546875" style="6" customWidth="1"/>
    <col min="14" max="16384" width="9.109375" style="3"/>
  </cols>
  <sheetData>
    <row r="1" spans="1:13" x14ac:dyDescent="0.25">
      <c r="B1" s="3"/>
      <c r="C1" s="3"/>
      <c r="D1" s="3"/>
      <c r="E1" s="3"/>
      <c r="F1" s="3"/>
      <c r="G1" s="3"/>
      <c r="H1" s="3"/>
      <c r="I1" s="3"/>
      <c r="J1" s="3"/>
      <c r="K1" s="994" t="s">
        <v>179</v>
      </c>
      <c r="L1" s="994"/>
      <c r="M1" s="994"/>
    </row>
    <row r="2" spans="1:13" ht="30" customHeight="1" x14ac:dyDescent="0.25">
      <c r="A2" s="995" t="s">
        <v>703</v>
      </c>
      <c r="B2" s="995"/>
      <c r="C2" s="995"/>
      <c r="D2" s="995"/>
      <c r="E2" s="995"/>
      <c r="F2" s="995"/>
      <c r="G2" s="995"/>
      <c r="H2" s="995"/>
      <c r="I2" s="995"/>
      <c r="J2" s="995"/>
      <c r="K2" s="995"/>
      <c r="L2" s="995"/>
      <c r="M2" s="995"/>
    </row>
    <row r="3" spans="1:13" ht="13.8" thickBot="1" x14ac:dyDescent="0.3">
      <c r="B3" s="3"/>
      <c r="C3" s="3"/>
      <c r="D3" s="3"/>
      <c r="E3" s="3"/>
      <c r="F3" s="3"/>
      <c r="G3" s="3"/>
      <c r="H3" s="3"/>
      <c r="I3" s="3"/>
      <c r="J3" s="3"/>
      <c r="K3" s="206"/>
      <c r="L3" s="206"/>
      <c r="M3" s="206"/>
    </row>
    <row r="4" spans="1:13" s="1" customFormat="1" ht="28.5" customHeight="1" thickTop="1" x14ac:dyDescent="0.25">
      <c r="A4" s="977" t="s">
        <v>1</v>
      </c>
      <c r="B4" s="979" t="s">
        <v>624</v>
      </c>
      <c r="C4" s="979"/>
      <c r="D4" s="979"/>
      <c r="E4" s="979" t="s">
        <v>625</v>
      </c>
      <c r="F4" s="979"/>
      <c r="G4" s="979"/>
      <c r="H4" s="979" t="s">
        <v>559</v>
      </c>
      <c r="I4" s="979"/>
      <c r="J4" s="979"/>
      <c r="K4" s="979" t="s">
        <v>560</v>
      </c>
      <c r="L4" s="979"/>
      <c r="M4" s="980"/>
    </row>
    <row r="5" spans="1:13" s="1" customFormat="1" x14ac:dyDescent="0.25">
      <c r="A5" s="978"/>
      <c r="B5" s="973" t="s">
        <v>3</v>
      </c>
      <c r="C5" s="972" t="s">
        <v>5</v>
      </c>
      <c r="D5" s="972"/>
      <c r="E5" s="973" t="s">
        <v>3</v>
      </c>
      <c r="F5" s="972" t="s">
        <v>5</v>
      </c>
      <c r="G5" s="972"/>
      <c r="H5" s="975" t="s">
        <v>3</v>
      </c>
      <c r="I5" s="972" t="s">
        <v>5</v>
      </c>
      <c r="J5" s="972"/>
      <c r="K5" s="975" t="s">
        <v>3</v>
      </c>
      <c r="L5" s="972" t="s">
        <v>5</v>
      </c>
      <c r="M5" s="974"/>
    </row>
    <row r="6" spans="1:13" s="1" customFormat="1" x14ac:dyDescent="0.25">
      <c r="A6" s="978"/>
      <c r="B6" s="973"/>
      <c r="C6" s="973" t="s">
        <v>7</v>
      </c>
      <c r="D6" s="975" t="s">
        <v>8</v>
      </c>
      <c r="E6" s="973"/>
      <c r="F6" s="973" t="s">
        <v>7</v>
      </c>
      <c r="G6" s="975" t="s">
        <v>8</v>
      </c>
      <c r="H6" s="975"/>
      <c r="I6" s="975" t="s">
        <v>7</v>
      </c>
      <c r="J6" s="975" t="s">
        <v>8</v>
      </c>
      <c r="K6" s="975"/>
      <c r="L6" s="975" t="s">
        <v>7</v>
      </c>
      <c r="M6" s="998" t="s">
        <v>8</v>
      </c>
    </row>
    <row r="7" spans="1:13" s="1" customFormat="1" ht="51" customHeight="1" x14ac:dyDescent="0.25">
      <c r="A7" s="978"/>
      <c r="B7" s="973"/>
      <c r="C7" s="973"/>
      <c r="D7" s="975"/>
      <c r="E7" s="973"/>
      <c r="F7" s="973"/>
      <c r="G7" s="975"/>
      <c r="H7" s="975"/>
      <c r="I7" s="975"/>
      <c r="J7" s="975"/>
      <c r="K7" s="975"/>
      <c r="L7" s="975"/>
      <c r="M7" s="998"/>
    </row>
    <row r="8" spans="1:13" s="20" customFormat="1" ht="20.399999999999999" x14ac:dyDescent="0.25">
      <c r="A8" s="321" t="s">
        <v>14</v>
      </c>
      <c r="B8" s="322" t="s">
        <v>15</v>
      </c>
      <c r="C8" s="322" t="s">
        <v>16</v>
      </c>
      <c r="D8" s="322" t="s">
        <v>17</v>
      </c>
      <c r="E8" s="322" t="s">
        <v>189</v>
      </c>
      <c r="F8" s="322" t="s">
        <v>200</v>
      </c>
      <c r="G8" s="322" t="s">
        <v>191</v>
      </c>
      <c r="H8" s="323" t="s">
        <v>216</v>
      </c>
      <c r="I8" s="323" t="s">
        <v>217</v>
      </c>
      <c r="J8" s="323" t="s">
        <v>218</v>
      </c>
      <c r="K8" s="491" t="s">
        <v>219</v>
      </c>
      <c r="L8" s="491" t="s">
        <v>220</v>
      </c>
      <c r="M8" s="207" t="s">
        <v>221</v>
      </c>
    </row>
    <row r="9" spans="1:13" s="1" customFormat="1" x14ac:dyDescent="0.25">
      <c r="A9" s="440" t="s">
        <v>27</v>
      </c>
      <c r="B9" s="49"/>
      <c r="C9" s="49"/>
      <c r="D9" s="49"/>
      <c r="E9" s="49"/>
      <c r="F9" s="49"/>
      <c r="G9" s="49"/>
      <c r="H9" s="208"/>
      <c r="I9" s="208"/>
      <c r="J9" s="208"/>
      <c r="K9" s="208"/>
      <c r="L9" s="208"/>
      <c r="M9" s="209"/>
    </row>
    <row r="10" spans="1:13" s="35" customFormat="1" x14ac:dyDescent="0.25">
      <c r="A10" s="30" t="s">
        <v>29</v>
      </c>
      <c r="B10" s="31">
        <v>79027.15695733999</v>
      </c>
      <c r="C10" s="31">
        <v>63568.66545909</v>
      </c>
      <c r="D10" s="31">
        <v>15459.202964919999</v>
      </c>
      <c r="E10" s="31">
        <v>70853.439682160009</v>
      </c>
      <c r="F10" s="31">
        <v>55602.361729999997</v>
      </c>
      <c r="G10" s="31">
        <v>15251.789560909998</v>
      </c>
      <c r="H10" s="31">
        <f>E10-B10</f>
        <v>-8173.7172751799808</v>
      </c>
      <c r="I10" s="31">
        <f t="shared" ref="I10:J10" si="0">F10-C10</f>
        <v>-7966.3037290900029</v>
      </c>
      <c r="J10" s="31">
        <f t="shared" si="0"/>
        <v>-207.41340401000161</v>
      </c>
      <c r="K10" s="31">
        <f>E10/B10%-100</f>
        <v>-10.342922091442915</v>
      </c>
      <c r="L10" s="31">
        <f t="shared" ref="L10:M10" si="1">F10/C10%-100</f>
        <v>-12.531808984124055</v>
      </c>
      <c r="M10" s="32">
        <f t="shared" si="1"/>
        <v>-1.3416823912634044</v>
      </c>
    </row>
    <row r="11" spans="1:13" x14ac:dyDescent="0.25">
      <c r="A11" s="324" t="s">
        <v>30</v>
      </c>
      <c r="B11" s="27">
        <v>20584.607180229999</v>
      </c>
      <c r="C11" s="27">
        <v>20584.607180229999</v>
      </c>
      <c r="D11" s="27">
        <v>0</v>
      </c>
      <c r="E11" s="27">
        <v>12562.10351735</v>
      </c>
      <c r="F11" s="27">
        <v>12562.10351735</v>
      </c>
      <c r="G11" s="27">
        <v>0</v>
      </c>
      <c r="H11" s="27">
        <f>E11-B11</f>
        <v>-8022.503662879999</v>
      </c>
      <c r="I11" s="27">
        <f t="shared" ref="I11" si="2">F11-C11</f>
        <v>-8022.503662879999</v>
      </c>
      <c r="J11" s="27">
        <f t="shared" ref="J11" si="3">G11-D11</f>
        <v>0</v>
      </c>
      <c r="K11" s="27">
        <f>E11/B11%-100</f>
        <v>-38.973314344249545</v>
      </c>
      <c r="L11" s="27">
        <f t="shared" ref="L11" si="4">F11/C11%-100</f>
        <v>-38.973314344249545</v>
      </c>
      <c r="M11" s="29"/>
    </row>
    <row r="12" spans="1:13" x14ac:dyDescent="0.25">
      <c r="A12" s="324" t="s">
        <v>32</v>
      </c>
      <c r="B12" s="27">
        <v>29677.17643688</v>
      </c>
      <c r="C12" s="27">
        <v>19648.808180659998</v>
      </c>
      <c r="D12" s="27">
        <v>10028.368256219999</v>
      </c>
      <c r="E12" s="27">
        <v>31483.505839909998</v>
      </c>
      <c r="F12" s="27">
        <v>20664.86734854</v>
      </c>
      <c r="G12" s="27">
        <v>10818.63849137</v>
      </c>
      <c r="H12" s="27">
        <f t="shared" ref="H12:H54" si="5">E12-B12</f>
        <v>1806.3294030299985</v>
      </c>
      <c r="I12" s="27">
        <f t="shared" ref="I12:I54" si="6">F12-C12</f>
        <v>1016.059167880001</v>
      </c>
      <c r="J12" s="27">
        <f t="shared" ref="J12:J55" si="7">G12-D12</f>
        <v>790.2702351500011</v>
      </c>
      <c r="K12" s="27">
        <f t="shared" ref="K12:K47" si="8">E12/B12%-100</f>
        <v>6.0865945480758796</v>
      </c>
      <c r="L12" s="27">
        <f t="shared" ref="L12:L47" si="9">F12/C12%-100</f>
        <v>5.1710982087966642</v>
      </c>
      <c r="M12" s="29">
        <f t="shared" ref="M12:M47" si="10">G12/D12%-100</f>
        <v>7.8803471807075169</v>
      </c>
    </row>
    <row r="13" spans="1:13" x14ac:dyDescent="0.25">
      <c r="A13" s="324" t="s">
        <v>394</v>
      </c>
      <c r="B13" s="27">
        <v>5193.51560367</v>
      </c>
      <c r="C13" s="27">
        <v>4838.2968622600001</v>
      </c>
      <c r="D13" s="27">
        <v>355.21874140999995</v>
      </c>
      <c r="E13" s="27">
        <v>6535.8480239099999</v>
      </c>
      <c r="F13" s="27">
        <v>6193.3348943700003</v>
      </c>
      <c r="G13" s="27">
        <v>342.51312954000002</v>
      </c>
      <c r="H13" s="27">
        <f t="shared" si="5"/>
        <v>1342.3324202399999</v>
      </c>
      <c r="I13" s="27">
        <f t="shared" si="6"/>
        <v>1355.0380321100001</v>
      </c>
      <c r="J13" s="27">
        <f t="shared" si="7"/>
        <v>-12.705611869999927</v>
      </c>
      <c r="K13" s="27">
        <f t="shared" si="8"/>
        <v>25.846315341604836</v>
      </c>
      <c r="L13" s="27">
        <f t="shared" si="9"/>
        <v>28.006508709286862</v>
      </c>
      <c r="M13" s="29">
        <f t="shared" si="10"/>
        <v>-3.5768416439871658</v>
      </c>
    </row>
    <row r="14" spans="1:13" s="88" customFormat="1" x14ac:dyDescent="0.25">
      <c r="A14" s="325" t="s">
        <v>395</v>
      </c>
      <c r="B14" s="87">
        <v>53.731297429999998</v>
      </c>
      <c r="C14" s="87">
        <v>53.731297429999998</v>
      </c>
      <c r="D14" s="87">
        <v>0</v>
      </c>
      <c r="E14" s="87">
        <v>52.787142000000003</v>
      </c>
      <c r="F14" s="87">
        <v>52.787142000000003</v>
      </c>
      <c r="G14" s="87">
        <v>0</v>
      </c>
      <c r="H14" s="87">
        <f t="shared" si="5"/>
        <v>-0.94415542999999502</v>
      </c>
      <c r="I14" s="87">
        <f t="shared" si="6"/>
        <v>-0.94415542999999502</v>
      </c>
      <c r="J14" s="87">
        <f t="shared" si="7"/>
        <v>0</v>
      </c>
      <c r="K14" s="27">
        <f t="shared" si="8"/>
        <v>-1.7571796609416026</v>
      </c>
      <c r="L14" s="27">
        <f t="shared" si="9"/>
        <v>-1.7571796609416026</v>
      </c>
      <c r="M14" s="29"/>
    </row>
    <row r="15" spans="1:13" s="88" customFormat="1" ht="39.6" x14ac:dyDescent="0.25">
      <c r="A15" s="325" t="s">
        <v>396</v>
      </c>
      <c r="B15" s="87">
        <v>1716.9281211700002</v>
      </c>
      <c r="C15" s="87">
        <v>1716.9281211700002</v>
      </c>
      <c r="D15" s="87">
        <v>0</v>
      </c>
      <c r="E15" s="210">
        <v>1581.23905341</v>
      </c>
      <c r="F15" s="210">
        <v>1581.23905341</v>
      </c>
      <c r="G15" s="210">
        <v>0</v>
      </c>
      <c r="H15" s="87">
        <f t="shared" si="5"/>
        <v>-135.68906776000017</v>
      </c>
      <c r="I15" s="87">
        <f t="shared" si="6"/>
        <v>-135.68906776000017</v>
      </c>
      <c r="J15" s="87">
        <f t="shared" si="7"/>
        <v>0</v>
      </c>
      <c r="K15" s="27">
        <f t="shared" si="8"/>
        <v>-7.9030138819984472</v>
      </c>
      <c r="L15" s="27">
        <f t="shared" si="9"/>
        <v>-7.9030138819984472</v>
      </c>
      <c r="M15" s="29"/>
    </row>
    <row r="16" spans="1:13" s="88" customFormat="1" x14ac:dyDescent="0.25">
      <c r="A16" s="325" t="s">
        <v>397</v>
      </c>
      <c r="B16" s="87">
        <v>1616.8958804700001</v>
      </c>
      <c r="C16" s="87">
        <v>1455.2062924100001</v>
      </c>
      <c r="D16" s="87">
        <v>161.68958806000001</v>
      </c>
      <c r="E16" s="87">
        <v>2306.6757042700001</v>
      </c>
      <c r="F16" s="87">
        <v>2148.6957178600001</v>
      </c>
      <c r="G16" s="87">
        <v>157.97998641000001</v>
      </c>
      <c r="H16" s="87">
        <f t="shared" si="5"/>
        <v>689.77982380000003</v>
      </c>
      <c r="I16" s="87">
        <f t="shared" si="6"/>
        <v>693.48942545</v>
      </c>
      <c r="J16" s="87">
        <f t="shared" si="7"/>
        <v>-3.7096016499999962</v>
      </c>
      <c r="K16" s="27">
        <f t="shared" si="8"/>
        <v>42.66074471038263</v>
      </c>
      <c r="L16" s="27">
        <f t="shared" si="9"/>
        <v>47.655746753368987</v>
      </c>
      <c r="M16" s="29">
        <f t="shared" si="10"/>
        <v>-2.2942736724787949</v>
      </c>
    </row>
    <row r="17" spans="1:13" s="88" customFormat="1" ht="39.6" x14ac:dyDescent="0.25">
      <c r="A17" s="325" t="s">
        <v>398</v>
      </c>
      <c r="B17" s="87">
        <v>11.884610739999999</v>
      </c>
      <c r="C17" s="87">
        <v>10.69614967</v>
      </c>
      <c r="D17" s="87">
        <v>1.1884610699999998</v>
      </c>
      <c r="E17" s="87">
        <v>16.499008619999998</v>
      </c>
      <c r="F17" s="87">
        <v>15.36902179</v>
      </c>
      <c r="G17" s="87">
        <v>1.12998683</v>
      </c>
      <c r="H17" s="87">
        <f t="shared" si="5"/>
        <v>4.6143978799999985</v>
      </c>
      <c r="I17" s="87">
        <f t="shared" si="6"/>
        <v>4.6728721199999992</v>
      </c>
      <c r="J17" s="87">
        <f t="shared" si="7"/>
        <v>-5.8474239999999789E-2</v>
      </c>
      <c r="K17" s="27">
        <f t="shared" si="8"/>
        <v>38.826664002291068</v>
      </c>
      <c r="L17" s="27">
        <f t="shared" si="9"/>
        <v>43.68742270974596</v>
      </c>
      <c r="M17" s="29">
        <f t="shared" si="10"/>
        <v>-4.9201645284014006</v>
      </c>
    </row>
    <row r="18" spans="1:13" s="88" customFormat="1" ht="26.4" x14ac:dyDescent="0.25">
      <c r="A18" s="325" t="s">
        <v>399</v>
      </c>
      <c r="B18" s="87">
        <v>2160.1783942900001</v>
      </c>
      <c r="C18" s="87">
        <v>1944.1605548699999</v>
      </c>
      <c r="D18" s="87">
        <v>216.01783941999997</v>
      </c>
      <c r="E18" s="87">
        <v>3103.1269070100002</v>
      </c>
      <c r="F18" s="87">
        <v>2890.5994391700001</v>
      </c>
      <c r="G18" s="87">
        <v>212.52746784000001</v>
      </c>
      <c r="H18" s="87">
        <f t="shared" si="5"/>
        <v>942.94851272000005</v>
      </c>
      <c r="I18" s="87">
        <f t="shared" si="6"/>
        <v>946.43888430000015</v>
      </c>
      <c r="J18" s="87">
        <f t="shared" si="7"/>
        <v>-3.4903715799999588</v>
      </c>
      <c r="K18" s="27">
        <f t="shared" si="8"/>
        <v>43.651418568600434</v>
      </c>
      <c r="L18" s="27">
        <f t="shared" si="9"/>
        <v>48.681107222818099</v>
      </c>
      <c r="M18" s="29">
        <f t="shared" si="10"/>
        <v>-1.6157793214539566</v>
      </c>
    </row>
    <row r="19" spans="1:13" s="88" customFormat="1" x14ac:dyDescent="0.25">
      <c r="A19" s="325" t="s">
        <v>400</v>
      </c>
      <c r="B19" s="87">
        <v>-236.77147123</v>
      </c>
      <c r="C19" s="87">
        <v>-213.09432409000001</v>
      </c>
      <c r="D19" s="87">
        <v>-23.677147139999999</v>
      </c>
      <c r="E19" s="87">
        <v>-425.24590212999999</v>
      </c>
      <c r="F19" s="87">
        <v>-396.12159058999998</v>
      </c>
      <c r="G19" s="87">
        <v>-29.124311540000001</v>
      </c>
      <c r="H19" s="87">
        <f t="shared" si="5"/>
        <v>-188.47443089999999</v>
      </c>
      <c r="I19" s="87">
        <f t="shared" si="6"/>
        <v>-183.02726649999997</v>
      </c>
      <c r="J19" s="87">
        <f t="shared" si="7"/>
        <v>-5.4471644000000019</v>
      </c>
      <c r="K19" s="27">
        <f t="shared" si="8"/>
        <v>79.60183290702102</v>
      </c>
      <c r="L19" s="27">
        <f t="shared" si="9"/>
        <v>85.890258823927525</v>
      </c>
      <c r="M19" s="29">
        <f t="shared" si="10"/>
        <v>23.00599970001285</v>
      </c>
    </row>
    <row r="20" spans="1:13" s="88" customFormat="1" x14ac:dyDescent="0.25">
      <c r="A20" s="325" t="s">
        <v>401</v>
      </c>
      <c r="B20" s="87">
        <v>-129.33197636</v>
      </c>
      <c r="C20" s="87">
        <v>-129.33197636</v>
      </c>
      <c r="D20" s="87">
        <v>0</v>
      </c>
      <c r="E20" s="87">
        <v>-88.224011279999999</v>
      </c>
      <c r="F20" s="87">
        <v>-88.224011279999999</v>
      </c>
      <c r="G20" s="87">
        <v>0</v>
      </c>
      <c r="H20" s="87">
        <f t="shared" si="5"/>
        <v>41.10796508</v>
      </c>
      <c r="I20" s="87">
        <f t="shared" si="6"/>
        <v>41.10796508</v>
      </c>
      <c r="J20" s="87">
        <f t="shared" si="7"/>
        <v>0</v>
      </c>
      <c r="K20" s="27">
        <f t="shared" si="8"/>
        <v>-31.784842571008554</v>
      </c>
      <c r="L20" s="27">
        <f t="shared" si="9"/>
        <v>-31.784842571008554</v>
      </c>
      <c r="M20" s="29"/>
    </row>
    <row r="21" spans="1:13" x14ac:dyDescent="0.25">
      <c r="A21" s="324" t="s">
        <v>357</v>
      </c>
      <c r="B21" s="27">
        <v>4836.08339342</v>
      </c>
      <c r="C21" s="27">
        <v>3712.86366241</v>
      </c>
      <c r="D21" s="27">
        <v>1123.21973101</v>
      </c>
      <c r="E21" s="27">
        <v>4061.7412729600001</v>
      </c>
      <c r="F21" s="27">
        <v>3180.5938129000001</v>
      </c>
      <c r="G21" s="27">
        <v>881.14746005999996</v>
      </c>
      <c r="H21" s="27">
        <f t="shared" si="5"/>
        <v>-774.34212045999993</v>
      </c>
      <c r="I21" s="27">
        <f t="shared" si="6"/>
        <v>-532.26984950999986</v>
      </c>
      <c r="J21" s="27">
        <f t="shared" si="7"/>
        <v>-242.07227095000007</v>
      </c>
      <c r="K21" s="27">
        <f t="shared" si="8"/>
        <v>-16.011761118792407</v>
      </c>
      <c r="L21" s="27">
        <f t="shared" si="9"/>
        <v>-14.335830720067591</v>
      </c>
      <c r="M21" s="29">
        <f t="shared" si="10"/>
        <v>-21.551639832068162</v>
      </c>
    </row>
    <row r="22" spans="1:13" s="88" customFormat="1" ht="26.4" x14ac:dyDescent="0.25">
      <c r="A22" s="325" t="s">
        <v>353</v>
      </c>
      <c r="B22" s="87">
        <v>3712.86350662</v>
      </c>
      <c r="C22" s="87">
        <v>3712.86350662</v>
      </c>
      <c r="D22" s="87">
        <v>0</v>
      </c>
      <c r="E22" s="87">
        <v>3180.0723289699999</v>
      </c>
      <c r="F22" s="87">
        <v>3180.0723289699999</v>
      </c>
      <c r="G22" s="87">
        <v>0</v>
      </c>
      <c r="H22" s="27">
        <f t="shared" si="5"/>
        <v>-532.79117765000001</v>
      </c>
      <c r="I22" s="27">
        <f t="shared" si="6"/>
        <v>-532.79117765000001</v>
      </c>
      <c r="J22" s="27">
        <f t="shared" si="7"/>
        <v>0</v>
      </c>
      <c r="K22" s="27">
        <f t="shared" si="8"/>
        <v>-14.349872455586862</v>
      </c>
      <c r="L22" s="27">
        <f t="shared" si="9"/>
        <v>-14.349872455586862</v>
      </c>
      <c r="M22" s="29"/>
    </row>
    <row r="23" spans="1:13" s="88" customFormat="1" ht="26.4" x14ac:dyDescent="0.25">
      <c r="A23" s="325" t="s">
        <v>354</v>
      </c>
      <c r="B23" s="87">
        <v>935.29889896000009</v>
      </c>
      <c r="C23" s="87">
        <v>0</v>
      </c>
      <c r="D23" s="87">
        <v>935.29889896000009</v>
      </c>
      <c r="E23" s="87">
        <v>694.8324359500001</v>
      </c>
      <c r="F23" s="87">
        <v>0</v>
      </c>
      <c r="G23" s="87">
        <v>694.8324359500001</v>
      </c>
      <c r="H23" s="27">
        <f t="shared" si="5"/>
        <v>-240.46646300999998</v>
      </c>
      <c r="I23" s="27">
        <f t="shared" si="6"/>
        <v>0</v>
      </c>
      <c r="J23" s="27">
        <f t="shared" si="7"/>
        <v>-240.46646300999998</v>
      </c>
      <c r="K23" s="27">
        <f t="shared" si="8"/>
        <v>-25.710119329487625</v>
      </c>
      <c r="L23" s="27"/>
      <c r="M23" s="29">
        <f t="shared" si="10"/>
        <v>-25.710119329487625</v>
      </c>
    </row>
    <row r="24" spans="1:13" s="88" customFormat="1" x14ac:dyDescent="0.25">
      <c r="A24" s="325" t="s">
        <v>352</v>
      </c>
      <c r="B24" s="87">
        <v>146.46098721999999</v>
      </c>
      <c r="C24" s="87">
        <v>1.5579E-4</v>
      </c>
      <c r="D24" s="87">
        <v>146.46083143000001</v>
      </c>
      <c r="E24" s="87">
        <v>173.09569353999998</v>
      </c>
      <c r="F24" s="87">
        <v>0</v>
      </c>
      <c r="G24" s="87">
        <v>173.09569353999998</v>
      </c>
      <c r="H24" s="27">
        <f t="shared" si="5"/>
        <v>26.634706319999992</v>
      </c>
      <c r="I24" s="27">
        <f t="shared" si="6"/>
        <v>-1.5579E-4</v>
      </c>
      <c r="J24" s="27">
        <f t="shared" si="7"/>
        <v>26.634862109999972</v>
      </c>
      <c r="K24" s="27">
        <f t="shared" si="8"/>
        <v>18.185529693304503</v>
      </c>
      <c r="L24" s="27">
        <f t="shared" si="9"/>
        <v>-100</v>
      </c>
      <c r="M24" s="29">
        <f t="shared" si="10"/>
        <v>18.185655406940612</v>
      </c>
    </row>
    <row r="25" spans="1:13" s="88" customFormat="1" ht="26.4" x14ac:dyDescent="0.25">
      <c r="A25" s="325" t="s">
        <v>355</v>
      </c>
      <c r="B25" s="87">
        <v>41.460000619999995</v>
      </c>
      <c r="C25" s="87">
        <v>0</v>
      </c>
      <c r="D25" s="87">
        <v>41.460000620000002</v>
      </c>
      <c r="E25" s="87">
        <v>13.21933057</v>
      </c>
      <c r="F25" s="87">
        <v>0</v>
      </c>
      <c r="G25" s="87">
        <v>13.21933057</v>
      </c>
      <c r="H25" s="27">
        <f t="shared" si="5"/>
        <v>-28.240670049999995</v>
      </c>
      <c r="I25" s="27">
        <f t="shared" si="6"/>
        <v>0</v>
      </c>
      <c r="J25" s="27">
        <f t="shared" si="7"/>
        <v>-28.240670050000002</v>
      </c>
      <c r="K25" s="27">
        <f t="shared" si="8"/>
        <v>-68.115459786985397</v>
      </c>
      <c r="L25" s="27"/>
      <c r="M25" s="29">
        <f t="shared" si="10"/>
        <v>-68.115459786985411</v>
      </c>
    </row>
    <row r="26" spans="1:13" x14ac:dyDescent="0.25">
      <c r="A26" s="324" t="s">
        <v>222</v>
      </c>
      <c r="B26" s="27">
        <v>10414.175916190001</v>
      </c>
      <c r="C26" s="27">
        <v>9269.57874128</v>
      </c>
      <c r="D26" s="27">
        <v>1144.5971749099999</v>
      </c>
      <c r="E26" s="27">
        <v>9444.8253110000005</v>
      </c>
      <c r="F26" s="27">
        <v>8536.1422772900005</v>
      </c>
      <c r="G26" s="27">
        <v>908.68303371000002</v>
      </c>
      <c r="H26" s="27">
        <f t="shared" si="5"/>
        <v>-969.35060519000035</v>
      </c>
      <c r="I26" s="27">
        <f t="shared" si="6"/>
        <v>-733.43646398999954</v>
      </c>
      <c r="J26" s="27">
        <f t="shared" si="7"/>
        <v>-235.9141411999999</v>
      </c>
      <c r="K26" s="27">
        <f t="shared" si="8"/>
        <v>-9.3079914627045639</v>
      </c>
      <c r="L26" s="27">
        <f t="shared" si="9"/>
        <v>-7.9122955256187026</v>
      </c>
      <c r="M26" s="29">
        <f t="shared" si="10"/>
        <v>-20.611106367491246</v>
      </c>
    </row>
    <row r="27" spans="1:13" s="88" customFormat="1" x14ac:dyDescent="0.25">
      <c r="A27" s="325" t="s">
        <v>223</v>
      </c>
      <c r="B27" s="210">
        <v>307.63600962999999</v>
      </c>
      <c r="C27" s="210">
        <v>0</v>
      </c>
      <c r="D27" s="87">
        <v>307.63600962999999</v>
      </c>
      <c r="E27" s="210">
        <v>310.76341889999998</v>
      </c>
      <c r="F27" s="210">
        <v>0</v>
      </c>
      <c r="G27" s="210">
        <v>310.76341889999998</v>
      </c>
      <c r="H27" s="27">
        <f t="shared" si="5"/>
        <v>3.1274092699999869</v>
      </c>
      <c r="I27" s="27">
        <f t="shared" si="6"/>
        <v>0</v>
      </c>
      <c r="J27" s="27">
        <f t="shared" si="7"/>
        <v>3.1274092699999869</v>
      </c>
      <c r="K27" s="27">
        <f t="shared" si="8"/>
        <v>1.0165940176383828</v>
      </c>
      <c r="L27" s="27"/>
      <c r="M27" s="29">
        <f t="shared" si="10"/>
        <v>1.0165940176383828</v>
      </c>
    </row>
    <row r="28" spans="1:13" s="88" customFormat="1" x14ac:dyDescent="0.25">
      <c r="A28" s="325" t="s">
        <v>224</v>
      </c>
      <c r="B28" s="87">
        <v>8025.6270812499997</v>
      </c>
      <c r="C28" s="87">
        <v>8025.6270812499997</v>
      </c>
      <c r="D28" s="87">
        <v>0</v>
      </c>
      <c r="E28" s="210">
        <v>7191.0670390699997</v>
      </c>
      <c r="F28" s="210">
        <v>7191.0670390699997</v>
      </c>
      <c r="G28" s="210">
        <v>0</v>
      </c>
      <c r="H28" s="27">
        <f t="shared" si="5"/>
        <v>-834.56004217999998</v>
      </c>
      <c r="I28" s="27">
        <f t="shared" si="6"/>
        <v>-834.56004217999998</v>
      </c>
      <c r="J28" s="27">
        <f t="shared" si="7"/>
        <v>0</v>
      </c>
      <c r="K28" s="27">
        <f t="shared" si="8"/>
        <v>-10.398689519598463</v>
      </c>
      <c r="L28" s="27">
        <f t="shared" si="9"/>
        <v>-10.398689519598463</v>
      </c>
      <c r="M28" s="29"/>
    </row>
    <row r="29" spans="1:13" s="88" customFormat="1" x14ac:dyDescent="0.25">
      <c r="A29" s="325" t="s">
        <v>225</v>
      </c>
      <c r="B29" s="87">
        <v>1240.9886425299999</v>
      </c>
      <c r="C29" s="87">
        <v>1240.9886425299999</v>
      </c>
      <c r="D29" s="87">
        <v>0</v>
      </c>
      <c r="E29" s="210">
        <v>1343.3941092800001</v>
      </c>
      <c r="F29" s="210">
        <v>1343.3941092800001</v>
      </c>
      <c r="G29" s="210">
        <v>0</v>
      </c>
      <c r="H29" s="27">
        <f t="shared" si="5"/>
        <v>102.40546675000019</v>
      </c>
      <c r="I29" s="27">
        <f t="shared" si="6"/>
        <v>102.40546675000019</v>
      </c>
      <c r="J29" s="27">
        <f t="shared" si="7"/>
        <v>0</v>
      </c>
      <c r="K29" s="27">
        <f t="shared" si="8"/>
        <v>8.251926185337723</v>
      </c>
      <c r="L29" s="27">
        <f t="shared" si="9"/>
        <v>8.251926185337723</v>
      </c>
      <c r="M29" s="29"/>
    </row>
    <row r="30" spans="1:13" s="88" customFormat="1" x14ac:dyDescent="0.25">
      <c r="A30" s="325" t="s">
        <v>226</v>
      </c>
      <c r="B30" s="210">
        <v>836.96116527999993</v>
      </c>
      <c r="C30" s="210">
        <v>0</v>
      </c>
      <c r="D30" s="87">
        <v>836.96116527999993</v>
      </c>
      <c r="E30" s="210">
        <v>597.91961480999998</v>
      </c>
      <c r="F30" s="210">
        <v>0</v>
      </c>
      <c r="G30" s="210">
        <v>597.91961480999998</v>
      </c>
      <c r="H30" s="27">
        <f t="shared" si="5"/>
        <v>-239.04155046999995</v>
      </c>
      <c r="I30" s="27">
        <f t="shared" si="6"/>
        <v>0</v>
      </c>
      <c r="J30" s="27">
        <f t="shared" si="7"/>
        <v>-239.04155046999995</v>
      </c>
      <c r="K30" s="27">
        <f t="shared" si="8"/>
        <v>-28.560650169477114</v>
      </c>
      <c r="L30" s="27"/>
      <c r="M30" s="29">
        <f t="shared" si="10"/>
        <v>-28.560650169477114</v>
      </c>
    </row>
    <row r="31" spans="1:13" ht="26.4" x14ac:dyDescent="0.25">
      <c r="A31" s="324" t="s">
        <v>227</v>
      </c>
      <c r="B31" s="27">
        <v>3505.5379019899997</v>
      </c>
      <c r="C31" s="27">
        <v>3505.5379019899997</v>
      </c>
      <c r="D31" s="27">
        <v>0</v>
      </c>
      <c r="E31" s="27">
        <v>2541.0216857099999</v>
      </c>
      <c r="F31" s="27">
        <v>2541.0216857099999</v>
      </c>
      <c r="G31" s="27">
        <v>0</v>
      </c>
      <c r="H31" s="27">
        <f t="shared" si="5"/>
        <v>-964.51621627999975</v>
      </c>
      <c r="I31" s="27">
        <f t="shared" si="6"/>
        <v>-964.51621627999975</v>
      </c>
      <c r="J31" s="27">
        <f t="shared" si="7"/>
        <v>0</v>
      </c>
      <c r="K31" s="27">
        <f t="shared" si="8"/>
        <v>-27.51407182710733</v>
      </c>
      <c r="L31" s="27">
        <f t="shared" si="9"/>
        <v>-27.51407182710733</v>
      </c>
      <c r="M31" s="29"/>
    </row>
    <row r="32" spans="1:13" s="88" customFormat="1" ht="26.4" x14ac:dyDescent="0.25">
      <c r="A32" s="325" t="s">
        <v>228</v>
      </c>
      <c r="B32" s="210">
        <v>3246.8793230000001</v>
      </c>
      <c r="C32" s="210">
        <v>3246.8793230000001</v>
      </c>
      <c r="D32" s="87">
        <v>0</v>
      </c>
      <c r="E32" s="210">
        <v>2297.0385409999999</v>
      </c>
      <c r="F32" s="210">
        <v>2297.0385409999999</v>
      </c>
      <c r="G32" s="210">
        <v>0</v>
      </c>
      <c r="H32" s="27">
        <f t="shared" si="5"/>
        <v>-949.84078200000022</v>
      </c>
      <c r="I32" s="27">
        <f t="shared" si="6"/>
        <v>-949.84078200000022</v>
      </c>
      <c r="J32" s="27">
        <f t="shared" si="7"/>
        <v>0</v>
      </c>
      <c r="K32" s="27">
        <f t="shared" si="8"/>
        <v>-29.253960110916026</v>
      </c>
      <c r="L32" s="27">
        <f t="shared" si="9"/>
        <v>-29.253960110916026</v>
      </c>
      <c r="M32" s="29"/>
    </row>
    <row r="33" spans="1:13" x14ac:dyDescent="0.25">
      <c r="A33" s="324" t="s">
        <v>37</v>
      </c>
      <c r="B33" s="27">
        <v>373.08710348</v>
      </c>
      <c r="C33" s="27">
        <v>160.64527124</v>
      </c>
      <c r="D33" s="27">
        <v>212.44183223999997</v>
      </c>
      <c r="E33" s="27">
        <v>328.82236555000003</v>
      </c>
      <c r="F33" s="27">
        <v>107.87426307</v>
      </c>
      <c r="G33" s="27">
        <v>220.94810248000002</v>
      </c>
      <c r="H33" s="27">
        <f t="shared" si="5"/>
        <v>-44.264737929999967</v>
      </c>
      <c r="I33" s="27">
        <f t="shared" si="6"/>
        <v>-52.771008170000002</v>
      </c>
      <c r="J33" s="27">
        <f t="shared" si="7"/>
        <v>8.5062702400000489</v>
      </c>
      <c r="K33" s="27">
        <f t="shared" si="8"/>
        <v>-11.864451361925148</v>
      </c>
      <c r="L33" s="27">
        <f t="shared" si="9"/>
        <v>-32.849400273451835</v>
      </c>
      <c r="M33" s="29">
        <f t="shared" si="10"/>
        <v>4.0040467314320409</v>
      </c>
    </row>
    <row r="34" spans="1:13" ht="26.4" x14ac:dyDescent="0.25">
      <c r="A34" s="324" t="s">
        <v>38</v>
      </c>
      <c r="B34" s="27">
        <v>1.5161540000000001E-2</v>
      </c>
      <c r="C34" s="27">
        <v>-6.0654699999999999E-3</v>
      </c>
      <c r="D34" s="27">
        <v>2.1227009999999998E-2</v>
      </c>
      <c r="E34" s="27">
        <v>2.8865180000000001E-2</v>
      </c>
      <c r="F34" s="27">
        <v>3.059941E-2</v>
      </c>
      <c r="G34" s="27">
        <v>-1.7342299999999996E-3</v>
      </c>
      <c r="H34" s="27">
        <f t="shared" si="5"/>
        <v>1.370364E-2</v>
      </c>
      <c r="I34" s="27">
        <f t="shared" si="6"/>
        <v>3.6664879999999997E-2</v>
      </c>
      <c r="J34" s="27">
        <f t="shared" si="7"/>
        <v>-2.2961239999999997E-2</v>
      </c>
      <c r="K34" s="27">
        <f t="shared" ref="K34" si="11">E34/B34%-100</f>
        <v>90.38422218323467</v>
      </c>
      <c r="L34" s="50" t="s">
        <v>650</v>
      </c>
      <c r="M34" s="29"/>
    </row>
    <row r="35" spans="1:13" ht="26.4" x14ac:dyDescent="0.25">
      <c r="A35" s="324" t="s">
        <v>39</v>
      </c>
      <c r="B35" s="27">
        <v>1572.2576803099998</v>
      </c>
      <c r="C35" s="27">
        <v>61.303579479999996</v>
      </c>
      <c r="D35" s="27">
        <v>1511.6655675</v>
      </c>
      <c r="E35" s="27">
        <v>1280.0741539800001</v>
      </c>
      <c r="F35" s="27">
        <v>44.880628890000004</v>
      </c>
      <c r="G35" s="27">
        <v>1235.90513384</v>
      </c>
      <c r="H35" s="27">
        <f t="shared" si="5"/>
        <v>-292.18352632999972</v>
      </c>
      <c r="I35" s="27">
        <f t="shared" si="6"/>
        <v>-16.422950589999992</v>
      </c>
      <c r="J35" s="27">
        <f t="shared" si="7"/>
        <v>-275.76043365999999</v>
      </c>
      <c r="K35" s="27">
        <f t="shared" si="8"/>
        <v>-18.583692100164541</v>
      </c>
      <c r="L35" s="27">
        <f t="shared" si="9"/>
        <v>-26.789545943818666</v>
      </c>
      <c r="M35" s="29">
        <f t="shared" si="10"/>
        <v>-18.24215882062154</v>
      </c>
    </row>
    <row r="36" spans="1:13" ht="26.4" x14ac:dyDescent="0.25">
      <c r="A36" s="324" t="s">
        <v>229</v>
      </c>
      <c r="B36" s="27">
        <v>1196.42359457</v>
      </c>
      <c r="C36" s="27">
        <v>1128.1459651</v>
      </c>
      <c r="D36" s="27">
        <v>68.277629469999994</v>
      </c>
      <c r="E36" s="27">
        <v>1285.31557561</v>
      </c>
      <c r="F36" s="27">
        <v>1142.7074286500001</v>
      </c>
      <c r="G36" s="27">
        <v>142.60814696</v>
      </c>
      <c r="H36" s="27">
        <f t="shared" si="5"/>
        <v>88.891981040000019</v>
      </c>
      <c r="I36" s="27">
        <f t="shared" si="6"/>
        <v>14.561463550000099</v>
      </c>
      <c r="J36" s="27">
        <f t="shared" si="7"/>
        <v>74.330517490000005</v>
      </c>
      <c r="K36" s="27">
        <f t="shared" si="8"/>
        <v>7.4298084259988286</v>
      </c>
      <c r="L36" s="27">
        <f t="shared" si="9"/>
        <v>1.290742864883569</v>
      </c>
      <c r="M36" s="40" t="s">
        <v>591</v>
      </c>
    </row>
    <row r="37" spans="1:13" s="88" customFormat="1" ht="26.4" x14ac:dyDescent="0.25">
      <c r="A37" s="325" t="s">
        <v>230</v>
      </c>
      <c r="B37" s="87">
        <v>117.93408787999999</v>
      </c>
      <c r="C37" s="87">
        <v>49.656458409999999</v>
      </c>
      <c r="D37" s="87">
        <v>68.277629469999994</v>
      </c>
      <c r="E37" s="210">
        <v>237.68024480000003</v>
      </c>
      <c r="F37" s="210">
        <v>95.072097839999998</v>
      </c>
      <c r="G37" s="210">
        <v>142.60814696</v>
      </c>
      <c r="H37" s="87">
        <f t="shared" si="5"/>
        <v>119.74615692000003</v>
      </c>
      <c r="I37" s="87">
        <f t="shared" si="6"/>
        <v>45.415639429999999</v>
      </c>
      <c r="J37" s="87">
        <f t="shared" si="7"/>
        <v>74.330517490000005</v>
      </c>
      <c r="K37" s="492" t="s">
        <v>660</v>
      </c>
      <c r="L37" s="87">
        <f t="shared" si="9"/>
        <v>91.459682958086347</v>
      </c>
      <c r="M37" s="493" t="s">
        <v>591</v>
      </c>
    </row>
    <row r="38" spans="1:13" s="88" customFormat="1" x14ac:dyDescent="0.25">
      <c r="A38" s="325" t="s">
        <v>231</v>
      </c>
      <c r="B38" s="87">
        <v>165.85549381000001</v>
      </c>
      <c r="C38" s="87">
        <v>165.85549381000001</v>
      </c>
      <c r="D38" s="87">
        <v>0</v>
      </c>
      <c r="E38" s="210">
        <v>26.0121872</v>
      </c>
      <c r="F38" s="210">
        <v>26.0121872</v>
      </c>
      <c r="G38" s="210">
        <v>0</v>
      </c>
      <c r="H38" s="87">
        <f t="shared" si="5"/>
        <v>-139.84330661000001</v>
      </c>
      <c r="I38" s="87">
        <f t="shared" si="6"/>
        <v>-139.84330661000001</v>
      </c>
      <c r="J38" s="87">
        <f t="shared" si="7"/>
        <v>0</v>
      </c>
      <c r="K38" s="87">
        <f t="shared" si="8"/>
        <v>-84.316354796303031</v>
      </c>
      <c r="L38" s="87">
        <f t="shared" si="9"/>
        <v>-84.316354796303031</v>
      </c>
      <c r="M38" s="458"/>
    </row>
    <row r="39" spans="1:13" s="88" customFormat="1" x14ac:dyDescent="0.25">
      <c r="A39" s="325" t="s">
        <v>232</v>
      </c>
      <c r="B39" s="87">
        <v>912.63401288</v>
      </c>
      <c r="C39" s="87">
        <v>912.63401288</v>
      </c>
      <c r="D39" s="87">
        <v>0</v>
      </c>
      <c r="E39" s="210">
        <v>1021.6231436100001</v>
      </c>
      <c r="F39" s="210">
        <v>1021.6231436100001</v>
      </c>
      <c r="G39" s="210">
        <v>0</v>
      </c>
      <c r="H39" s="87">
        <f t="shared" si="5"/>
        <v>108.98913073000006</v>
      </c>
      <c r="I39" s="87">
        <f t="shared" si="6"/>
        <v>108.98913073000006</v>
      </c>
      <c r="J39" s="87">
        <f t="shared" si="7"/>
        <v>0</v>
      </c>
      <c r="K39" s="87">
        <f t="shared" si="8"/>
        <v>11.942260445242766</v>
      </c>
      <c r="L39" s="87">
        <f t="shared" si="9"/>
        <v>11.942260445242766</v>
      </c>
      <c r="M39" s="458"/>
    </row>
    <row r="40" spans="1:13" ht="26.4" x14ac:dyDescent="0.25">
      <c r="A40" s="324" t="s">
        <v>358</v>
      </c>
      <c r="B40" s="27">
        <v>409.43470791000004</v>
      </c>
      <c r="C40" s="27">
        <v>228.23569512999998</v>
      </c>
      <c r="D40" s="27">
        <v>181.19901278000003</v>
      </c>
      <c r="E40" s="27">
        <v>317.06082413999997</v>
      </c>
      <c r="F40" s="27">
        <v>143.82146376</v>
      </c>
      <c r="G40" s="27">
        <v>173.23936037999999</v>
      </c>
      <c r="H40" s="27">
        <f t="shared" si="5"/>
        <v>-92.373883770000077</v>
      </c>
      <c r="I40" s="27">
        <f t="shared" si="6"/>
        <v>-84.414231369999982</v>
      </c>
      <c r="J40" s="27">
        <f t="shared" si="7"/>
        <v>-7.9596524000000386</v>
      </c>
      <c r="K40" s="27">
        <f t="shared" si="8"/>
        <v>-22.561322229258892</v>
      </c>
      <c r="L40" s="27">
        <f t="shared" si="9"/>
        <v>-36.985551853279901</v>
      </c>
      <c r="M40" s="29">
        <f t="shared" si="10"/>
        <v>-4.3927680829388009</v>
      </c>
    </row>
    <row r="41" spans="1:13" s="88" customFormat="1" x14ac:dyDescent="0.25">
      <c r="A41" s="325" t="s">
        <v>233</v>
      </c>
      <c r="B41" s="87">
        <v>144.76172952000002</v>
      </c>
      <c r="C41" s="87">
        <v>6.8460128899999999</v>
      </c>
      <c r="D41" s="87">
        <v>137.91571662999999</v>
      </c>
      <c r="E41" s="210">
        <v>121.81276670999999</v>
      </c>
      <c r="F41" s="210">
        <v>12.246116730000001</v>
      </c>
      <c r="G41" s="210">
        <v>109.56664997999999</v>
      </c>
      <c r="H41" s="87">
        <f t="shared" si="5"/>
        <v>-22.948962810000026</v>
      </c>
      <c r="I41" s="87">
        <f t="shared" si="6"/>
        <v>5.4001038400000008</v>
      </c>
      <c r="J41" s="87">
        <f t="shared" si="7"/>
        <v>-28.349066649999997</v>
      </c>
      <c r="K41" s="87">
        <f t="shared" si="8"/>
        <v>-15.852921131913831</v>
      </c>
      <c r="L41" s="87">
        <f t="shared" si="9"/>
        <v>78.879545317362101</v>
      </c>
      <c r="M41" s="458">
        <f t="shared" si="10"/>
        <v>-20.555356084654818</v>
      </c>
    </row>
    <row r="42" spans="1:13" s="88" customFormat="1" x14ac:dyDescent="0.25">
      <c r="A42" s="325" t="s">
        <v>234</v>
      </c>
      <c r="B42" s="87">
        <v>264.67297838999997</v>
      </c>
      <c r="C42" s="87">
        <v>221.38968224000001</v>
      </c>
      <c r="D42" s="87">
        <v>43.283296150000005</v>
      </c>
      <c r="E42" s="210">
        <v>195.24805743000002</v>
      </c>
      <c r="F42" s="210">
        <v>131.57534702999999</v>
      </c>
      <c r="G42" s="210">
        <v>63.6727104</v>
      </c>
      <c r="H42" s="87">
        <f t="shared" si="5"/>
        <v>-69.424920959999952</v>
      </c>
      <c r="I42" s="87">
        <f t="shared" si="6"/>
        <v>-89.814335210000024</v>
      </c>
      <c r="J42" s="87">
        <f t="shared" si="7"/>
        <v>20.389414249999994</v>
      </c>
      <c r="K42" s="87">
        <f t="shared" si="8"/>
        <v>-26.230452909212815</v>
      </c>
      <c r="L42" s="87">
        <f t="shared" si="9"/>
        <v>-40.568437653131355</v>
      </c>
      <c r="M42" s="458">
        <f t="shared" si="10"/>
        <v>47.106888947042421</v>
      </c>
    </row>
    <row r="43" spans="1:13" x14ac:dyDescent="0.25">
      <c r="A43" s="324" t="s">
        <v>42</v>
      </c>
      <c r="B43" s="27">
        <v>516.08072718000005</v>
      </c>
      <c r="C43" s="27">
        <v>21.143409649999999</v>
      </c>
      <c r="D43" s="27">
        <v>494.93731753000003</v>
      </c>
      <c r="E43" s="27">
        <v>345.31600780000002</v>
      </c>
      <c r="F43" s="27">
        <v>2.1404633099999999</v>
      </c>
      <c r="G43" s="27">
        <v>343.17554448999999</v>
      </c>
      <c r="H43" s="27">
        <f t="shared" si="5"/>
        <v>-170.76471938000003</v>
      </c>
      <c r="I43" s="27">
        <f t="shared" si="6"/>
        <v>-19.002946339999998</v>
      </c>
      <c r="J43" s="27">
        <f t="shared" si="7"/>
        <v>-151.76177304000004</v>
      </c>
      <c r="K43" s="27">
        <f t="shared" si="8"/>
        <v>-33.088761193060449</v>
      </c>
      <c r="L43" s="27">
        <f t="shared" si="9"/>
        <v>-89.876451596821795</v>
      </c>
      <c r="M43" s="29">
        <f t="shared" si="10"/>
        <v>-30.662826920663775</v>
      </c>
    </row>
    <row r="44" spans="1:13" x14ac:dyDescent="0.25">
      <c r="A44" s="324" t="s">
        <v>43</v>
      </c>
      <c r="B44" s="27">
        <v>1.3798733400000001</v>
      </c>
      <c r="C44" s="27">
        <v>1.3411025000000001</v>
      </c>
      <c r="D44" s="27">
        <v>3.8770839999999994E-2</v>
      </c>
      <c r="E44" s="27">
        <v>1.2284857900000001</v>
      </c>
      <c r="F44" s="27">
        <v>1.20523523</v>
      </c>
      <c r="G44" s="27">
        <v>2.325056E-2</v>
      </c>
      <c r="H44" s="27">
        <f t="shared" si="5"/>
        <v>-0.15138754999999993</v>
      </c>
      <c r="I44" s="27">
        <f t="shared" si="6"/>
        <v>-0.1358672700000001</v>
      </c>
      <c r="J44" s="27">
        <f t="shared" si="7"/>
        <v>-1.5520279999999994E-2</v>
      </c>
      <c r="K44" s="27">
        <f t="shared" si="8"/>
        <v>-10.971119276788116</v>
      </c>
      <c r="L44" s="27">
        <f t="shared" si="9"/>
        <v>-10.13101310302531</v>
      </c>
      <c r="M44" s="29">
        <f t="shared" si="10"/>
        <v>-40.030806657787132</v>
      </c>
    </row>
    <row r="45" spans="1:13" x14ac:dyDescent="0.25">
      <c r="A45" s="324" t="s">
        <v>44</v>
      </c>
      <c r="B45" s="27">
        <v>658.56058015999997</v>
      </c>
      <c r="C45" s="27">
        <v>408.96240761000001</v>
      </c>
      <c r="D45" s="27">
        <v>249.59817254999999</v>
      </c>
      <c r="E45" s="27">
        <v>617.38153034000004</v>
      </c>
      <c r="F45" s="27">
        <v>478.28088801999996</v>
      </c>
      <c r="G45" s="27">
        <v>139.10064232000002</v>
      </c>
      <c r="H45" s="27">
        <f t="shared" si="5"/>
        <v>-41.179049819999932</v>
      </c>
      <c r="I45" s="27">
        <f t="shared" si="6"/>
        <v>69.31848040999995</v>
      </c>
      <c r="J45" s="27">
        <f t="shared" si="7"/>
        <v>-110.49753022999997</v>
      </c>
      <c r="K45" s="27">
        <f t="shared" si="8"/>
        <v>-6.2528871390989309</v>
      </c>
      <c r="L45" s="27">
        <f t="shared" si="9"/>
        <v>16.949841628501062</v>
      </c>
      <c r="M45" s="29">
        <f t="shared" si="10"/>
        <v>-44.270167966820708</v>
      </c>
    </row>
    <row r="46" spans="1:13" ht="26.4" x14ac:dyDescent="0.25">
      <c r="A46" s="324" t="s">
        <v>45</v>
      </c>
      <c r="B46" s="27">
        <v>88.821096470000001</v>
      </c>
      <c r="C46" s="27">
        <v>-0.79843498000000002</v>
      </c>
      <c r="D46" s="42">
        <v>89.619531449999997</v>
      </c>
      <c r="E46" s="27">
        <v>49.166222929999996</v>
      </c>
      <c r="F46" s="27">
        <v>3.3572234999999999</v>
      </c>
      <c r="G46" s="42">
        <v>45.80899943</v>
      </c>
      <c r="H46" s="27">
        <f t="shared" si="5"/>
        <v>-39.654873540000004</v>
      </c>
      <c r="I46" s="27">
        <f t="shared" si="6"/>
        <v>4.1556584799999996</v>
      </c>
      <c r="J46" s="27">
        <f t="shared" si="7"/>
        <v>-43.810532019999997</v>
      </c>
      <c r="K46" s="27">
        <f t="shared" si="8"/>
        <v>-44.645782495371179</v>
      </c>
      <c r="L46" s="50" t="s">
        <v>651</v>
      </c>
      <c r="M46" s="29">
        <f t="shared" si="10"/>
        <v>-48.885026858729468</v>
      </c>
    </row>
    <row r="47" spans="1:13" s="52" customFormat="1" ht="26.4" hidden="1" x14ac:dyDescent="0.25">
      <c r="A47" s="439" t="s">
        <v>47</v>
      </c>
      <c r="B47" s="49"/>
      <c r="C47" s="49"/>
      <c r="D47" s="49"/>
      <c r="E47" s="49"/>
      <c r="F47" s="49"/>
      <c r="G47" s="49"/>
      <c r="H47" s="49">
        <f t="shared" si="5"/>
        <v>0</v>
      </c>
      <c r="I47" s="49">
        <f t="shared" si="6"/>
        <v>0</v>
      </c>
      <c r="J47" s="49">
        <f t="shared" si="7"/>
        <v>0</v>
      </c>
      <c r="K47" s="27" t="e">
        <f t="shared" si="8"/>
        <v>#DIV/0!</v>
      </c>
      <c r="L47" s="27" t="e">
        <f t="shared" si="9"/>
        <v>#DIV/0!</v>
      </c>
      <c r="M47" s="29" t="e">
        <f t="shared" si="10"/>
        <v>#DIV/0!</v>
      </c>
    </row>
    <row r="48" spans="1:13" s="434" customFormat="1" x14ac:dyDescent="0.25">
      <c r="A48" s="30" t="s">
        <v>48</v>
      </c>
      <c r="B48" s="31">
        <v>28861.436720950001</v>
      </c>
      <c r="C48" s="31">
        <v>28718.90028862</v>
      </c>
      <c r="D48" s="31">
        <v>28171.765152569998</v>
      </c>
      <c r="E48" s="31">
        <v>42447.952872330003</v>
      </c>
      <c r="F48" s="31">
        <v>42406.4481103</v>
      </c>
      <c r="G48" s="31">
        <v>34242.290506750003</v>
      </c>
      <c r="H48" s="31">
        <f t="shared" si="5"/>
        <v>13586.516151380001</v>
      </c>
      <c r="I48" s="31">
        <f t="shared" si="6"/>
        <v>13687.54782168</v>
      </c>
      <c r="J48" s="31">
        <f t="shared" si="7"/>
        <v>6070.5253541800048</v>
      </c>
      <c r="K48" s="31">
        <f t="shared" ref="K48:K49" si="12">E48/B48%-100</f>
        <v>47.074982034826405</v>
      </c>
      <c r="L48" s="31">
        <f t="shared" ref="L48:L49" si="13">F48/C48%-100</f>
        <v>47.660417648734807</v>
      </c>
      <c r="M48" s="32">
        <f t="shared" ref="M48:M49" si="14">G48/D48%-100</f>
        <v>21.548260541374759</v>
      </c>
    </row>
    <row r="49" spans="1:13" x14ac:dyDescent="0.25">
      <c r="A49" s="36" t="s">
        <v>50</v>
      </c>
      <c r="B49" s="27">
        <v>26333.219540139999</v>
      </c>
      <c r="C49" s="27">
        <v>26333.219540139999</v>
      </c>
      <c r="D49" s="27">
        <v>28029.22872024</v>
      </c>
      <c r="E49" s="27">
        <v>42675.252492389998</v>
      </c>
      <c r="F49" s="27">
        <v>42675.252492389998</v>
      </c>
      <c r="G49" s="27">
        <v>34200.78574472</v>
      </c>
      <c r="H49" s="27">
        <f t="shared" si="5"/>
        <v>16342.03295225</v>
      </c>
      <c r="I49" s="27">
        <f t="shared" si="6"/>
        <v>16342.03295225</v>
      </c>
      <c r="J49" s="27">
        <f t="shared" si="7"/>
        <v>6171.5570244800001</v>
      </c>
      <c r="K49" s="27">
        <f t="shared" si="12"/>
        <v>62.05862115469651</v>
      </c>
      <c r="L49" s="27">
        <f t="shared" si="13"/>
        <v>62.05862115469651</v>
      </c>
      <c r="M49" s="29">
        <f t="shared" si="14"/>
        <v>22.018290571169004</v>
      </c>
    </row>
    <row r="50" spans="1:13" ht="26.4" x14ac:dyDescent="0.25">
      <c r="A50" s="36" t="s">
        <v>51</v>
      </c>
      <c r="B50" s="27">
        <v>2272.3125552900001</v>
      </c>
      <c r="C50" s="27">
        <v>2272.2625552899999</v>
      </c>
      <c r="D50" s="27">
        <v>0.05</v>
      </c>
      <c r="E50" s="27">
        <v>1328.0868399400001</v>
      </c>
      <c r="F50" s="27">
        <v>1327.9131399400001</v>
      </c>
      <c r="G50" s="27">
        <v>0.17369999999999999</v>
      </c>
      <c r="H50" s="27">
        <f t="shared" si="5"/>
        <v>-944.22571534999997</v>
      </c>
      <c r="I50" s="27">
        <f t="shared" si="6"/>
        <v>-944.34941534999984</v>
      </c>
      <c r="J50" s="27">
        <f t="shared" si="7"/>
        <v>0.12369999999999999</v>
      </c>
      <c r="K50" s="27">
        <f t="shared" ref="K50:K52" si="15">E50/B50%-100</f>
        <v>-41.553513980804226</v>
      </c>
      <c r="L50" s="27">
        <f t="shared" ref="L50:L52" si="16">F50/C50%-100</f>
        <v>-41.55987225822485</v>
      </c>
      <c r="M50" s="40" t="s">
        <v>653</v>
      </c>
    </row>
    <row r="51" spans="1:13" s="60" customFormat="1" ht="26.4" x14ac:dyDescent="0.25">
      <c r="A51" s="36" t="s">
        <v>52</v>
      </c>
      <c r="B51" s="28">
        <v>2.367273</v>
      </c>
      <c r="C51" s="28">
        <v>0.85531000000000001</v>
      </c>
      <c r="D51" s="28">
        <v>1.5119629999999999</v>
      </c>
      <c r="E51" s="28">
        <v>1.4269559999999999</v>
      </c>
      <c r="F51" s="28">
        <v>0.39350000000000002</v>
      </c>
      <c r="G51" s="28">
        <v>1.0334559999999999</v>
      </c>
      <c r="H51" s="27">
        <f t="shared" si="5"/>
        <v>-0.94031700000000007</v>
      </c>
      <c r="I51" s="27">
        <f t="shared" si="6"/>
        <v>-0.46181</v>
      </c>
      <c r="J51" s="27">
        <f t="shared" si="7"/>
        <v>-0.47850700000000002</v>
      </c>
      <c r="K51" s="27">
        <f t="shared" si="15"/>
        <v>-39.721527681851654</v>
      </c>
      <c r="L51" s="27">
        <f t="shared" si="16"/>
        <v>-53.993288982941863</v>
      </c>
      <c r="M51" s="29">
        <f t="shared" ref="M51:M52" si="17">G51/D51%-100</f>
        <v>-31.648062816351995</v>
      </c>
    </row>
    <row r="52" spans="1:13" x14ac:dyDescent="0.25">
      <c r="A52" s="36" t="s">
        <v>53</v>
      </c>
      <c r="B52" s="27">
        <v>106.98614262999999</v>
      </c>
      <c r="C52" s="27">
        <v>56.396072830000001</v>
      </c>
      <c r="D52" s="27">
        <v>50.590069799999995</v>
      </c>
      <c r="E52" s="27">
        <v>104.66521035</v>
      </c>
      <c r="F52" s="27">
        <v>24.824325680000001</v>
      </c>
      <c r="G52" s="27">
        <v>79.840884670000008</v>
      </c>
      <c r="H52" s="27">
        <f t="shared" si="5"/>
        <v>-2.3209322799999939</v>
      </c>
      <c r="I52" s="27">
        <f t="shared" si="6"/>
        <v>-31.57174715</v>
      </c>
      <c r="J52" s="27">
        <f t="shared" si="7"/>
        <v>29.250814870000013</v>
      </c>
      <c r="K52" s="27">
        <f t="shared" si="15"/>
        <v>-2.1693765406859171</v>
      </c>
      <c r="L52" s="27">
        <f t="shared" si="16"/>
        <v>-55.982173165088447</v>
      </c>
      <c r="M52" s="29">
        <f t="shared" si="17"/>
        <v>57.81928150255294</v>
      </c>
    </row>
    <row r="53" spans="1:13" x14ac:dyDescent="0.25">
      <c r="A53" s="36" t="s">
        <v>55</v>
      </c>
      <c r="B53" s="27">
        <v>250.82527615999999</v>
      </c>
      <c r="C53" s="27">
        <v>160.44087662999999</v>
      </c>
      <c r="D53" s="27">
        <v>109.28985315999999</v>
      </c>
      <c r="E53" s="27">
        <v>106.6147732</v>
      </c>
      <c r="F53" s="27">
        <v>146.15805184000001</v>
      </c>
      <c r="G53" s="27">
        <v>42.718758869999995</v>
      </c>
      <c r="H53" s="27">
        <f t="shared" si="5"/>
        <v>-144.21050295999999</v>
      </c>
      <c r="I53" s="27">
        <f t="shared" si="6"/>
        <v>-14.282824789999978</v>
      </c>
      <c r="J53" s="27">
        <f t="shared" si="7"/>
        <v>-66.571094289999991</v>
      </c>
      <c r="K53" s="27">
        <f t="shared" ref="K53" si="18">E53/B53%-100</f>
        <v>-57.49440613313984</v>
      </c>
      <c r="L53" s="27">
        <f t="shared" ref="L53" si="19">F53/C53%-100</f>
        <v>-8.9022355711370551</v>
      </c>
      <c r="M53" s="29">
        <f t="shared" ref="M53" si="20">G53/D53%-100</f>
        <v>-60.912419922954903</v>
      </c>
    </row>
    <row r="54" spans="1:13" ht="26.4" x14ac:dyDescent="0.25">
      <c r="A54" s="36" t="s">
        <v>56</v>
      </c>
      <c r="B54" s="27">
        <v>-104.27406626999999</v>
      </c>
      <c r="C54" s="27">
        <v>-104.27406626999999</v>
      </c>
      <c r="D54" s="27">
        <v>-18.905453630000004</v>
      </c>
      <c r="E54" s="27">
        <v>-1768.09339955</v>
      </c>
      <c r="F54" s="27">
        <v>-1768.09339955</v>
      </c>
      <c r="G54" s="27">
        <v>-82.262037509999999</v>
      </c>
      <c r="H54" s="27">
        <f t="shared" si="5"/>
        <v>-1663.8193332799999</v>
      </c>
      <c r="I54" s="27">
        <f t="shared" si="6"/>
        <v>-1663.8193332799999</v>
      </c>
      <c r="J54" s="27">
        <f t="shared" si="7"/>
        <v>-63.356583879999995</v>
      </c>
      <c r="K54" s="43" t="s">
        <v>652</v>
      </c>
      <c r="L54" s="43" t="s">
        <v>652</v>
      </c>
      <c r="M54" s="40" t="s">
        <v>592</v>
      </c>
    </row>
    <row r="55" spans="1:13" s="35" customFormat="1" x14ac:dyDescent="0.25">
      <c r="A55" s="211" t="s">
        <v>421</v>
      </c>
      <c r="B55" s="212">
        <f t="shared" ref="B55:G55" si="21">B48+B10</f>
        <v>107888.59367829</v>
      </c>
      <c r="C55" s="212">
        <f t="shared" si="21"/>
        <v>92287.565747710003</v>
      </c>
      <c r="D55" s="212">
        <f t="shared" si="21"/>
        <v>43630.968117489996</v>
      </c>
      <c r="E55" s="212">
        <f t="shared" si="21"/>
        <v>113301.39255449001</v>
      </c>
      <c r="F55" s="212">
        <f t="shared" si="21"/>
        <v>98008.809840300004</v>
      </c>
      <c r="G55" s="212">
        <f t="shared" si="21"/>
        <v>49494.080067660005</v>
      </c>
      <c r="H55" s="212">
        <f t="shared" ref="H55:H57" si="22">E55-B55</f>
        <v>5412.7988762000168</v>
      </c>
      <c r="I55" s="212">
        <f t="shared" ref="I55:I57" si="23">F55-C55</f>
        <v>5721.2440925900009</v>
      </c>
      <c r="J55" s="212">
        <f t="shared" si="7"/>
        <v>5863.1119501700086</v>
      </c>
      <c r="K55" s="212">
        <f t="shared" ref="K55" si="24">E55/B55%-100</f>
        <v>5.0170260744525876</v>
      </c>
      <c r="L55" s="212">
        <f t="shared" ref="L55" si="25">F55/C55%-100</f>
        <v>6.1993661293769264</v>
      </c>
      <c r="M55" s="213">
        <f t="shared" ref="M55" si="26">G55/D55%-100</f>
        <v>13.437959786685809</v>
      </c>
    </row>
    <row r="56" spans="1:13" s="35" customFormat="1" x14ac:dyDescent="0.25">
      <c r="A56" s="211" t="s">
        <v>58</v>
      </c>
      <c r="B56" s="212">
        <f t="shared" ref="B56:G56" si="27">+B11+B12+B13+B21+B26+B31+B33+B34</f>
        <v>74584.198697399988</v>
      </c>
      <c r="C56" s="212">
        <f t="shared" si="27"/>
        <v>61720.331734599997</v>
      </c>
      <c r="D56" s="212">
        <f t="shared" si="27"/>
        <v>12863.866962799999</v>
      </c>
      <c r="E56" s="212">
        <f t="shared" si="27"/>
        <v>66957.896881569992</v>
      </c>
      <c r="F56" s="212">
        <f t="shared" si="27"/>
        <v>53785.968398639998</v>
      </c>
      <c r="G56" s="212">
        <f t="shared" si="27"/>
        <v>13171.928482930001</v>
      </c>
      <c r="H56" s="212">
        <f t="shared" si="22"/>
        <v>-7626.3018158299965</v>
      </c>
      <c r="I56" s="212">
        <f t="shared" si="23"/>
        <v>-7934.3633359599989</v>
      </c>
      <c r="J56" s="212">
        <f t="shared" ref="J56:J57" si="28">G56-D56</f>
        <v>308.06152013000246</v>
      </c>
      <c r="K56" s="212">
        <f t="shared" ref="K56:K57" si="29">E56/B56%-100</f>
        <v>-10.225090500430412</v>
      </c>
      <c r="L56" s="212">
        <f t="shared" ref="L56:L57" si="30">F56/C56%-100</f>
        <v>-12.855347845630661</v>
      </c>
      <c r="M56" s="213">
        <f t="shared" ref="M56:M57" si="31">G56/D56%-100</f>
        <v>2.3947816082120568</v>
      </c>
    </row>
    <row r="57" spans="1:13" s="35" customFormat="1" x14ac:dyDescent="0.25">
      <c r="A57" s="211" t="s">
        <v>59</v>
      </c>
      <c r="B57" s="212">
        <f>+B35+B36+B40+B43+B44+B45+B46+B47</f>
        <v>4442.9582599400001</v>
      </c>
      <c r="C57" s="212">
        <f t="shared" ref="C57:D57" si="32">+C35+C36+C40+C43+C44+C45+C46+C47</f>
        <v>1848.3337244900003</v>
      </c>
      <c r="D57" s="212">
        <f t="shared" si="32"/>
        <v>2595.3360021200001</v>
      </c>
      <c r="E57" s="212">
        <f>+E35+E36+E40+E43+E44+E45+E46+E47</f>
        <v>3895.5428005900003</v>
      </c>
      <c r="F57" s="212">
        <f t="shared" ref="F57:G57" si="33">+F35+F36+F40+F43+F44+F45+F46+F47</f>
        <v>1816.39333136</v>
      </c>
      <c r="G57" s="212">
        <f t="shared" si="33"/>
        <v>2079.8610779799997</v>
      </c>
      <c r="H57" s="212">
        <f t="shared" si="22"/>
        <v>-547.41545934999976</v>
      </c>
      <c r="I57" s="212">
        <f t="shared" si="23"/>
        <v>-31.940393130000302</v>
      </c>
      <c r="J57" s="212">
        <f t="shared" si="28"/>
        <v>-515.47492414000044</v>
      </c>
      <c r="K57" s="212">
        <f t="shared" si="29"/>
        <v>-12.320967862466304</v>
      </c>
      <c r="L57" s="212">
        <f t="shared" si="30"/>
        <v>-1.7280641859636745</v>
      </c>
      <c r="M57" s="213">
        <f t="shared" si="31"/>
        <v>-19.861587236447804</v>
      </c>
    </row>
    <row r="58" spans="1:13" s="1" customFormat="1" x14ac:dyDescent="0.25">
      <c r="A58" s="440" t="s">
        <v>65</v>
      </c>
      <c r="B58" s="49"/>
      <c r="C58" s="49"/>
      <c r="D58" s="49"/>
      <c r="E58" s="49"/>
      <c r="F58" s="49"/>
      <c r="G58" s="49"/>
      <c r="H58" s="49"/>
      <c r="I58" s="49"/>
      <c r="J58" s="49"/>
      <c r="K58" s="49"/>
      <c r="L58" s="49"/>
      <c r="M58" s="218"/>
    </row>
    <row r="59" spans="1:13" s="450" customFormat="1" x14ac:dyDescent="0.25">
      <c r="A59" s="84" t="s">
        <v>235</v>
      </c>
      <c r="B59" s="31">
        <v>6869.6493618699997</v>
      </c>
      <c r="C59" s="31">
        <v>3085.8939057299999</v>
      </c>
      <c r="D59" s="31">
        <v>3855.6167645200003</v>
      </c>
      <c r="E59" s="31">
        <v>7209.1762315799997</v>
      </c>
      <c r="F59" s="31">
        <v>3429.9615588200004</v>
      </c>
      <c r="G59" s="31">
        <v>3950.1484010500003</v>
      </c>
      <c r="H59" s="31">
        <f t="shared" ref="H59:J61" si="34">E59-B59</f>
        <v>339.52686971000003</v>
      </c>
      <c r="I59" s="31">
        <f t="shared" si="34"/>
        <v>344.06765309000048</v>
      </c>
      <c r="J59" s="31">
        <f t="shared" si="34"/>
        <v>94.531636530000014</v>
      </c>
      <c r="K59" s="31">
        <f t="shared" ref="K59:M59" si="35">E59/B59%-100</f>
        <v>4.9424192098441608</v>
      </c>
      <c r="L59" s="31">
        <f t="shared" si="35"/>
        <v>11.149691583729535</v>
      </c>
      <c r="M59" s="32">
        <f t="shared" si="35"/>
        <v>2.4517902660838899</v>
      </c>
    </row>
    <row r="60" spans="1:13" ht="26.4" x14ac:dyDescent="0.25">
      <c r="A60" s="326" t="s">
        <v>236</v>
      </c>
      <c r="B60" s="27">
        <v>179.01891057</v>
      </c>
      <c r="C60" s="27">
        <v>6.4633288799999997</v>
      </c>
      <c r="D60" s="27">
        <v>172.55558169</v>
      </c>
      <c r="E60" s="27">
        <v>191.82523834</v>
      </c>
      <c r="F60" s="27">
        <v>12.874248509999999</v>
      </c>
      <c r="G60" s="27">
        <v>178.95098983</v>
      </c>
      <c r="H60" s="27">
        <f t="shared" si="34"/>
        <v>12.806327769999996</v>
      </c>
      <c r="I60" s="27">
        <f t="shared" si="34"/>
        <v>6.4109196299999995</v>
      </c>
      <c r="J60" s="27">
        <f t="shared" si="34"/>
        <v>6.3954081400000007</v>
      </c>
      <c r="K60" s="27">
        <f t="shared" ref="K60:K61" si="36">E60/B60%-100</f>
        <v>7.1536173073695721</v>
      </c>
      <c r="L60" s="27">
        <f t="shared" ref="L60:L61" si="37">F60/C60%-100</f>
        <v>99.189129147331897</v>
      </c>
      <c r="M60" s="29">
        <f t="shared" ref="M60:M61" si="38">G60/D60%-100</f>
        <v>3.7062887664158524</v>
      </c>
    </row>
    <row r="61" spans="1:13" ht="52.8" x14ac:dyDescent="0.25">
      <c r="A61" s="326" t="s">
        <v>237</v>
      </c>
      <c r="B61" s="27">
        <v>356.85040373999999</v>
      </c>
      <c r="C61" s="27">
        <v>198.36915121000001</v>
      </c>
      <c r="D61" s="27">
        <v>158.49849463000001</v>
      </c>
      <c r="E61" s="27">
        <v>381.70629480000002</v>
      </c>
      <c r="F61" s="27">
        <v>217.20668803999999</v>
      </c>
      <c r="G61" s="27">
        <v>164.49960675999998</v>
      </c>
      <c r="H61" s="27">
        <f t="shared" si="34"/>
        <v>24.855891060000033</v>
      </c>
      <c r="I61" s="27">
        <f t="shared" si="34"/>
        <v>18.837536829999976</v>
      </c>
      <c r="J61" s="27">
        <f t="shared" si="34"/>
        <v>6.0011121299999672</v>
      </c>
      <c r="K61" s="27">
        <f t="shared" si="36"/>
        <v>6.9653532122973161</v>
      </c>
      <c r="L61" s="27">
        <f t="shared" si="37"/>
        <v>9.4962027689769002</v>
      </c>
      <c r="M61" s="29">
        <f t="shared" si="38"/>
        <v>3.7862265783716111</v>
      </c>
    </row>
    <row r="62" spans="1:13" s="217" customFormat="1" hidden="1" x14ac:dyDescent="0.25">
      <c r="A62" s="327" t="s">
        <v>308</v>
      </c>
      <c r="B62" s="215"/>
      <c r="C62" s="215"/>
      <c r="D62" s="215"/>
      <c r="E62" s="215"/>
      <c r="F62" s="215"/>
      <c r="G62" s="215"/>
      <c r="H62" s="215"/>
      <c r="I62" s="215"/>
      <c r="J62" s="215"/>
      <c r="K62" s="215"/>
      <c r="L62" s="215"/>
      <c r="M62" s="216"/>
    </row>
    <row r="63" spans="1:13" ht="39.6" x14ac:dyDescent="0.25">
      <c r="A63" s="326" t="s">
        <v>238</v>
      </c>
      <c r="B63" s="27">
        <v>2240.1606583899998</v>
      </c>
      <c r="C63" s="27">
        <v>384.66173005000002</v>
      </c>
      <c r="D63" s="27">
        <v>1891.4183289499999</v>
      </c>
      <c r="E63" s="27">
        <v>2313.5835140599997</v>
      </c>
      <c r="F63" s="27">
        <v>399.35999566000004</v>
      </c>
      <c r="G63" s="27">
        <f>1970.04746774-G64</f>
        <v>1950.9339257399999</v>
      </c>
      <c r="H63" s="27">
        <f>E63-B63</f>
        <v>73.42285566999999</v>
      </c>
      <c r="I63" s="27">
        <f>F63-C63</f>
        <v>14.698265610000021</v>
      </c>
      <c r="J63" s="27">
        <f>G63-D63</f>
        <v>59.515596790000018</v>
      </c>
      <c r="K63" s="27">
        <f>E63/B63%-100</f>
        <v>3.2775709811263596</v>
      </c>
      <c r="L63" s="27">
        <f>F63/C63%-100</f>
        <v>3.8210886245661868</v>
      </c>
      <c r="M63" s="29">
        <f>G63/D63%-100</f>
        <v>3.1466120360078946</v>
      </c>
    </row>
    <row r="64" spans="1:13" s="217" customFormat="1" hidden="1" x14ac:dyDescent="0.25">
      <c r="A64" s="327" t="s">
        <v>308</v>
      </c>
      <c r="B64" s="215"/>
      <c r="C64" s="215"/>
      <c r="D64" s="215"/>
      <c r="E64" s="215">
        <v>0</v>
      </c>
      <c r="F64" s="215">
        <v>36.710407340000003</v>
      </c>
      <c r="G64" s="215">
        <v>19.113541999999999</v>
      </c>
      <c r="H64" s="215"/>
      <c r="I64" s="215"/>
      <c r="J64" s="215"/>
      <c r="K64" s="215"/>
      <c r="L64" s="215"/>
      <c r="M64" s="216"/>
    </row>
    <row r="65" spans="1:13" x14ac:dyDescent="0.25">
      <c r="A65" s="326" t="s">
        <v>239</v>
      </c>
      <c r="B65" s="27">
        <v>348.19412836000004</v>
      </c>
      <c r="C65" s="27">
        <v>348.19412836000004</v>
      </c>
      <c r="D65" s="27">
        <v>0.44479249999999998</v>
      </c>
      <c r="E65" s="27">
        <v>376.24041038999997</v>
      </c>
      <c r="F65" s="27">
        <v>376.24041038999997</v>
      </c>
      <c r="G65" s="27">
        <v>0.52376500000000004</v>
      </c>
      <c r="H65" s="27">
        <f t="shared" ref="H65:J67" si="39">E65-B65</f>
        <v>28.046282029999929</v>
      </c>
      <c r="I65" s="27">
        <f t="shared" si="39"/>
        <v>28.046282029999929</v>
      </c>
      <c r="J65" s="27">
        <f t="shared" si="39"/>
        <v>7.8972500000000057E-2</v>
      </c>
      <c r="K65" s="27">
        <f t="shared" ref="K65:M67" si="40">E65/B65%-100</f>
        <v>8.054783164236099</v>
      </c>
      <c r="L65" s="27">
        <f t="shared" si="40"/>
        <v>8.054783164236099</v>
      </c>
      <c r="M65" s="29">
        <f t="shared" si="40"/>
        <v>17.754908187525643</v>
      </c>
    </row>
    <row r="66" spans="1:13" s="217" customFormat="1" hidden="1" x14ac:dyDescent="0.25">
      <c r="A66" s="327" t="s">
        <v>308</v>
      </c>
      <c r="B66" s="215"/>
      <c r="C66" s="215"/>
      <c r="D66" s="215"/>
      <c r="E66" s="215">
        <v>0</v>
      </c>
      <c r="F66" s="215">
        <v>0.52376500000000004</v>
      </c>
      <c r="G66" s="215">
        <v>0</v>
      </c>
      <c r="H66" s="215"/>
      <c r="I66" s="215"/>
      <c r="J66" s="215"/>
      <c r="K66" s="215"/>
      <c r="L66" s="215"/>
      <c r="M66" s="216"/>
    </row>
    <row r="67" spans="1:13" ht="39.6" x14ac:dyDescent="0.25">
      <c r="A67" s="326" t="s">
        <v>240</v>
      </c>
      <c r="B67" s="27">
        <v>501.18222473000003</v>
      </c>
      <c r="C67" s="27">
        <v>155.39402881999999</v>
      </c>
      <c r="D67" s="27">
        <v>345.78819590999996</v>
      </c>
      <c r="E67" s="27">
        <v>539.11139648000005</v>
      </c>
      <c r="F67" s="27">
        <v>171.66068569000001</v>
      </c>
      <c r="G67" s="27">
        <f>378.55094779-G68</f>
        <v>367.45071079000002</v>
      </c>
      <c r="H67" s="27">
        <f t="shared" si="39"/>
        <v>37.929171750000023</v>
      </c>
      <c r="I67" s="27">
        <f t="shared" si="39"/>
        <v>16.26665687000002</v>
      </c>
      <c r="J67" s="27">
        <f t="shared" si="39"/>
        <v>21.66251488000006</v>
      </c>
      <c r="K67" s="27">
        <f t="shared" si="40"/>
        <v>7.5679403375555552</v>
      </c>
      <c r="L67" s="27">
        <f t="shared" si="40"/>
        <v>10.468006392216282</v>
      </c>
      <c r="M67" s="29">
        <f t="shared" si="40"/>
        <v>6.2646773765632844</v>
      </c>
    </row>
    <row r="68" spans="1:13" s="217" customFormat="1" hidden="1" x14ac:dyDescent="0.25">
      <c r="A68" s="327" t="s">
        <v>308</v>
      </c>
      <c r="B68" s="215"/>
      <c r="C68" s="215"/>
      <c r="D68" s="215"/>
      <c r="E68" s="215">
        <v>0</v>
      </c>
      <c r="F68" s="215">
        <v>0</v>
      </c>
      <c r="G68" s="215">
        <v>11.100237</v>
      </c>
      <c r="H68" s="215"/>
      <c r="I68" s="215"/>
      <c r="J68" s="215"/>
      <c r="K68" s="215"/>
      <c r="L68" s="215"/>
      <c r="M68" s="216"/>
    </row>
    <row r="69" spans="1:13" ht="26.4" x14ac:dyDescent="0.25">
      <c r="A69" s="326" t="s">
        <v>241</v>
      </c>
      <c r="B69" s="27">
        <v>55.71871616</v>
      </c>
      <c r="C69" s="27">
        <v>44.435127999999999</v>
      </c>
      <c r="D69" s="27">
        <v>11.283588159999999</v>
      </c>
      <c r="E69" s="27">
        <v>328.29986985000005</v>
      </c>
      <c r="F69" s="27">
        <v>318.09302511000004</v>
      </c>
      <c r="G69" s="27">
        <f>13.54805874-G70</f>
        <v>13.058258739999999</v>
      </c>
      <c r="H69" s="27">
        <f>E69-B69</f>
        <v>272.58115369000006</v>
      </c>
      <c r="I69" s="27">
        <f>F69-C69</f>
        <v>273.65789711000002</v>
      </c>
      <c r="J69" s="27">
        <f>G69-D69</f>
        <v>1.7746705800000004</v>
      </c>
      <c r="K69" s="43" t="s">
        <v>654</v>
      </c>
      <c r="L69" s="43" t="s">
        <v>655</v>
      </c>
      <c r="M69" s="29">
        <f t="shared" ref="M69" si="41">G69/D69%-100</f>
        <v>15.727892181417587</v>
      </c>
    </row>
    <row r="70" spans="1:13" s="217" customFormat="1" hidden="1" x14ac:dyDescent="0.25">
      <c r="A70" s="327" t="s">
        <v>308</v>
      </c>
      <c r="B70" s="215"/>
      <c r="C70" s="215"/>
      <c r="D70" s="215"/>
      <c r="E70" s="215">
        <v>0</v>
      </c>
      <c r="F70" s="215">
        <v>2.8514140000000001</v>
      </c>
      <c r="G70" s="215">
        <v>0.48980000000000001</v>
      </c>
      <c r="H70" s="215"/>
      <c r="I70" s="215"/>
      <c r="J70" s="215"/>
      <c r="K70" s="215"/>
      <c r="L70" s="215"/>
      <c r="M70" s="216"/>
    </row>
    <row r="71" spans="1:13" s="452" customFormat="1" hidden="1" x14ac:dyDescent="0.25">
      <c r="A71" s="417" t="s">
        <v>242</v>
      </c>
      <c r="B71" s="451"/>
      <c r="C71" s="451"/>
      <c r="D71" s="451"/>
      <c r="E71" s="451"/>
      <c r="F71" s="451"/>
      <c r="G71" s="451"/>
      <c r="H71" s="451">
        <f>E71-B71</f>
        <v>0</v>
      </c>
      <c r="I71" s="451">
        <f>F71-C71</f>
        <v>0</v>
      </c>
      <c r="J71" s="451">
        <f>G71-D71</f>
        <v>0</v>
      </c>
      <c r="K71" s="451" t="e">
        <f>E71/B71%-100</f>
        <v>#DIV/0!</v>
      </c>
      <c r="L71" s="451" t="e">
        <f>F71/C71%-100</f>
        <v>#DIV/0!</v>
      </c>
      <c r="M71" s="453" t="e">
        <f>G71/D71%-100</f>
        <v>#DIV/0!</v>
      </c>
    </row>
    <row r="72" spans="1:13" s="457" customFormat="1" hidden="1" x14ac:dyDescent="0.25">
      <c r="A72" s="454" t="s">
        <v>308</v>
      </c>
      <c r="B72" s="455"/>
      <c r="C72" s="455"/>
      <c r="D72" s="455"/>
      <c r="E72" s="455"/>
      <c r="F72" s="455"/>
      <c r="G72" s="455"/>
      <c r="H72" s="455"/>
      <c r="I72" s="455"/>
      <c r="J72" s="455"/>
      <c r="K72" s="455"/>
      <c r="L72" s="455"/>
      <c r="M72" s="456"/>
    </row>
    <row r="73" spans="1:13" ht="26.4" x14ac:dyDescent="0.25">
      <c r="A73" s="326" t="s">
        <v>243</v>
      </c>
      <c r="B73" s="27">
        <v>18.956275000000002</v>
      </c>
      <c r="C73" s="27">
        <v>18.956275000000002</v>
      </c>
      <c r="D73" s="27">
        <v>0</v>
      </c>
      <c r="E73" s="27">
        <v>20.981818000000001</v>
      </c>
      <c r="F73" s="27">
        <v>20.981818000000001</v>
      </c>
      <c r="G73" s="27">
        <v>0</v>
      </c>
      <c r="H73" s="27">
        <f t="shared" ref="H73:H74" si="42">E73-B73</f>
        <v>2.025542999999999</v>
      </c>
      <c r="I73" s="27">
        <f t="shared" ref="I73:I74" si="43">F73-C73</f>
        <v>2.025542999999999</v>
      </c>
      <c r="J73" s="27">
        <f t="shared" ref="J73:J74" si="44">G73-D73</f>
        <v>0</v>
      </c>
      <c r="K73" s="27">
        <f t="shared" ref="K73" si="45">E73/B73%-100</f>
        <v>10.685342980094987</v>
      </c>
      <c r="L73" s="27">
        <f t="shared" ref="L73" si="46">F73/C73%-100</f>
        <v>10.685342980094987</v>
      </c>
      <c r="M73" s="29"/>
    </row>
    <row r="74" spans="1:13" x14ac:dyDescent="0.25">
      <c r="A74" s="326" t="s">
        <v>244</v>
      </c>
      <c r="B74" s="27">
        <v>3169.5680449199999</v>
      </c>
      <c r="C74" s="27">
        <v>1929.4201354100001</v>
      </c>
      <c r="D74" s="27">
        <v>1275.6277826800001</v>
      </c>
      <c r="E74" s="27">
        <v>3057.4276896599999</v>
      </c>
      <c r="F74" s="27">
        <v>1913.5446874200002</v>
      </c>
      <c r="G74" s="27">
        <f>1313.58013506-G75</f>
        <v>1274.7311441899999</v>
      </c>
      <c r="H74" s="27">
        <f t="shared" si="42"/>
        <v>-112.14035525999998</v>
      </c>
      <c r="I74" s="27">
        <f t="shared" si="43"/>
        <v>-15.875447989999884</v>
      </c>
      <c r="J74" s="27">
        <f t="shared" si="44"/>
        <v>-0.89663849000021401</v>
      </c>
      <c r="K74" s="27">
        <f t="shared" ref="K74" si="47">E74/B74%-100</f>
        <v>-3.5380327436015051</v>
      </c>
      <c r="L74" s="27">
        <f t="shared" ref="L74" si="48">F74/C74%-100</f>
        <v>-0.82280928340297521</v>
      </c>
      <c r="M74" s="29">
        <f t="shared" ref="M74" si="49">G74/D74%-100</f>
        <v>-7.0289978171885537E-2</v>
      </c>
    </row>
    <row r="75" spans="1:13" s="217" customFormat="1" hidden="1" x14ac:dyDescent="0.25">
      <c r="A75" s="327" t="s">
        <v>308</v>
      </c>
      <c r="B75" s="215"/>
      <c r="C75" s="215"/>
      <c r="D75" s="215"/>
      <c r="E75" s="215">
        <v>0</v>
      </c>
      <c r="F75" s="215">
        <v>130.84814195000001</v>
      </c>
      <c r="G75" s="215">
        <v>38.848990870000002</v>
      </c>
      <c r="H75" s="215"/>
      <c r="I75" s="215"/>
      <c r="J75" s="215"/>
      <c r="K75" s="215"/>
      <c r="L75" s="215"/>
      <c r="M75" s="216"/>
    </row>
    <row r="76" spans="1:13" s="450" customFormat="1" x14ac:dyDescent="0.25">
      <c r="A76" s="84" t="s">
        <v>245</v>
      </c>
      <c r="B76" s="31">
        <v>39.761785400000001</v>
      </c>
      <c r="C76" s="31">
        <v>39.76322356</v>
      </c>
      <c r="D76" s="31">
        <v>39.761785400000008</v>
      </c>
      <c r="E76" s="31">
        <v>44.204308149999996</v>
      </c>
      <c r="F76" s="31">
        <v>44.214833740000003</v>
      </c>
      <c r="G76" s="31">
        <v>44.20430815000001</v>
      </c>
      <c r="H76" s="31">
        <f t="shared" ref="H76:H77" si="50">E76-B76</f>
        <v>4.4425227499999949</v>
      </c>
      <c r="I76" s="31">
        <f t="shared" ref="I76:I77" si="51">F76-C76</f>
        <v>4.451610180000003</v>
      </c>
      <c r="J76" s="31">
        <f t="shared" ref="J76:J77" si="52">G76-D76</f>
        <v>4.442522750000002</v>
      </c>
      <c r="K76" s="31">
        <f t="shared" ref="K76:K77" si="53">E76/B76%-100</f>
        <v>11.172845246531608</v>
      </c>
      <c r="L76" s="31">
        <f t="shared" ref="L76:L77" si="54">F76/C76%-100</f>
        <v>11.195295002385379</v>
      </c>
      <c r="M76" s="32">
        <f t="shared" ref="M76:M77" si="55">G76/D76%-100</f>
        <v>11.172845246531608</v>
      </c>
    </row>
    <row r="77" spans="1:13" x14ac:dyDescent="0.25">
      <c r="A77" s="326" t="s">
        <v>246</v>
      </c>
      <c r="B77" s="27">
        <v>39.761785400000001</v>
      </c>
      <c r="C77" s="27">
        <v>39.76322356</v>
      </c>
      <c r="D77" s="27">
        <v>39.761785400000008</v>
      </c>
      <c r="E77" s="27">
        <v>44.204308149999996</v>
      </c>
      <c r="F77" s="27">
        <v>44.214833740000003</v>
      </c>
      <c r="G77" s="27">
        <v>44.20430815000001</v>
      </c>
      <c r="H77" s="27">
        <f t="shared" si="50"/>
        <v>4.4425227499999949</v>
      </c>
      <c r="I77" s="27">
        <f t="shared" si="51"/>
        <v>4.451610180000003</v>
      </c>
      <c r="J77" s="27">
        <f t="shared" si="52"/>
        <v>4.442522750000002</v>
      </c>
      <c r="K77" s="27">
        <f t="shared" si="53"/>
        <v>11.172845246531608</v>
      </c>
      <c r="L77" s="27">
        <f t="shared" si="54"/>
        <v>11.195295002385379</v>
      </c>
      <c r="M77" s="29">
        <f t="shared" si="55"/>
        <v>11.172845246531608</v>
      </c>
    </row>
    <row r="78" spans="1:13" s="217" customFormat="1" hidden="1" x14ac:dyDescent="0.25">
      <c r="A78" s="327" t="s">
        <v>308</v>
      </c>
      <c r="B78" s="215"/>
      <c r="C78" s="215"/>
      <c r="D78" s="215"/>
      <c r="E78" s="215"/>
      <c r="F78" s="215"/>
      <c r="G78" s="215"/>
      <c r="H78" s="215"/>
      <c r="I78" s="215"/>
      <c r="J78" s="215"/>
      <c r="K78" s="215"/>
      <c r="L78" s="215"/>
      <c r="M78" s="216"/>
    </row>
    <row r="79" spans="1:13" s="450" customFormat="1" ht="26.4" x14ac:dyDescent="0.25">
      <c r="A79" s="84" t="s">
        <v>247</v>
      </c>
      <c r="B79" s="31">
        <v>1780.6141956600002</v>
      </c>
      <c r="C79" s="31">
        <v>1581.9309751199999</v>
      </c>
      <c r="D79" s="31">
        <v>200.35422054000003</v>
      </c>
      <c r="E79" s="31">
        <v>1832.4210161999999</v>
      </c>
      <c r="F79" s="31">
        <v>1586.0018243299999</v>
      </c>
      <c r="G79" s="31">
        <v>286.96066191</v>
      </c>
      <c r="H79" s="31">
        <f t="shared" ref="H79:H81" si="56">E79-B79</f>
        <v>51.806820539999762</v>
      </c>
      <c r="I79" s="31">
        <f t="shared" ref="I79:I81" si="57">F79-C79</f>
        <v>4.0708492100000058</v>
      </c>
      <c r="J79" s="31">
        <f t="shared" ref="J79:J81" si="58">G79-D79</f>
        <v>86.60644136999997</v>
      </c>
      <c r="K79" s="31">
        <f t="shared" ref="K79:K81" si="59">E79/B79%-100</f>
        <v>2.9094916049906629</v>
      </c>
      <c r="L79" s="31">
        <f t="shared" ref="L79:L81" si="60">F79/C79%-100</f>
        <v>0.25733418676445297</v>
      </c>
      <c r="M79" s="32">
        <f t="shared" ref="M79:M81" si="61">G79/D79%-100</f>
        <v>43.226661827525248</v>
      </c>
    </row>
    <row r="80" spans="1:13" hidden="1" x14ac:dyDescent="0.25">
      <c r="A80" s="417" t="s">
        <v>248</v>
      </c>
      <c r="B80" s="27"/>
      <c r="C80" s="27"/>
      <c r="D80" s="27"/>
      <c r="E80" s="27"/>
      <c r="F80" s="27"/>
      <c r="G80" s="27"/>
      <c r="H80" s="27">
        <f t="shared" si="56"/>
        <v>0</v>
      </c>
      <c r="I80" s="27">
        <f t="shared" si="57"/>
        <v>0</v>
      </c>
      <c r="J80" s="27">
        <f t="shared" si="58"/>
        <v>0</v>
      </c>
      <c r="K80" s="27" t="e">
        <f t="shared" si="59"/>
        <v>#DIV/0!</v>
      </c>
      <c r="L80" s="27" t="e">
        <f t="shared" si="60"/>
        <v>#DIV/0!</v>
      </c>
      <c r="M80" s="29" t="e">
        <f t="shared" si="61"/>
        <v>#DIV/0!</v>
      </c>
    </row>
    <row r="81" spans="1:13" ht="39.6" x14ac:dyDescent="0.25">
      <c r="A81" s="326" t="s">
        <v>249</v>
      </c>
      <c r="B81" s="27">
        <v>619.83044601999995</v>
      </c>
      <c r="C81" s="27">
        <v>440.25518409</v>
      </c>
      <c r="D81" s="27">
        <v>179.73126193000002</v>
      </c>
      <c r="E81" s="27">
        <v>667.93864599000005</v>
      </c>
      <c r="F81" s="27">
        <v>448.30320398000003</v>
      </c>
      <c r="G81" s="27">
        <f>252.37543358-G82</f>
        <v>242.51794200999998</v>
      </c>
      <c r="H81" s="27">
        <f t="shared" si="56"/>
        <v>48.108199970000101</v>
      </c>
      <c r="I81" s="27">
        <f t="shared" si="57"/>
        <v>8.0480198900000346</v>
      </c>
      <c r="J81" s="27">
        <f t="shared" si="58"/>
        <v>62.786680079999968</v>
      </c>
      <c r="K81" s="27">
        <f t="shared" si="59"/>
        <v>7.7615096642812915</v>
      </c>
      <c r="L81" s="27">
        <f t="shared" si="60"/>
        <v>1.8280352352091285</v>
      </c>
      <c r="M81" s="29">
        <f t="shared" si="61"/>
        <v>34.93364448999057</v>
      </c>
    </row>
    <row r="82" spans="1:13" s="217" customFormat="1" hidden="1" x14ac:dyDescent="0.25">
      <c r="A82" s="327" t="s">
        <v>308</v>
      </c>
      <c r="B82" s="215"/>
      <c r="C82" s="215"/>
      <c r="D82" s="215"/>
      <c r="E82" s="215">
        <v>0</v>
      </c>
      <c r="F82" s="215">
        <v>22.8825</v>
      </c>
      <c r="G82" s="215">
        <v>9.8574915700000005</v>
      </c>
      <c r="H82" s="215"/>
      <c r="I82" s="215"/>
      <c r="J82" s="215"/>
      <c r="K82" s="215"/>
      <c r="L82" s="215"/>
      <c r="M82" s="216"/>
    </row>
    <row r="83" spans="1:13" ht="26.4" x14ac:dyDescent="0.25">
      <c r="A83" s="326" t="s">
        <v>250</v>
      </c>
      <c r="B83" s="27">
        <v>1159.7517313399999</v>
      </c>
      <c r="C83" s="27">
        <v>1141.67579103</v>
      </c>
      <c r="D83" s="27">
        <v>19.590940310000001</v>
      </c>
      <c r="E83" s="27">
        <v>1163.62374101</v>
      </c>
      <c r="F83" s="27">
        <v>1137.6986203499998</v>
      </c>
      <c r="G83" s="27">
        <f>70.50475033-G84</f>
        <v>43.58409069999999</v>
      </c>
      <c r="H83" s="27">
        <f>E83-B83</f>
        <v>3.872009670000125</v>
      </c>
      <c r="I83" s="27">
        <f>F83-C83</f>
        <v>-3.9771706800001994</v>
      </c>
      <c r="J83" s="27">
        <f>G83-D83</f>
        <v>23.99315038999999</v>
      </c>
      <c r="K83" s="27">
        <f>E83/B83%-100</f>
        <v>0.33386539251175407</v>
      </c>
      <c r="L83" s="27">
        <f>F83/C83%-100</f>
        <v>-0.3483625308733167</v>
      </c>
      <c r="M83" s="40" t="s">
        <v>656</v>
      </c>
    </row>
    <row r="84" spans="1:13" s="217" customFormat="1" hidden="1" x14ac:dyDescent="0.25">
      <c r="A84" s="327" t="s">
        <v>308</v>
      </c>
      <c r="B84" s="215"/>
      <c r="C84" s="215"/>
      <c r="D84" s="215"/>
      <c r="E84" s="215">
        <v>0</v>
      </c>
      <c r="F84" s="215">
        <v>17.65897004</v>
      </c>
      <c r="G84" s="215">
        <v>26.920659629999999</v>
      </c>
      <c r="H84" s="215"/>
      <c r="I84" s="215"/>
      <c r="J84" s="215"/>
      <c r="K84" s="215"/>
      <c r="L84" s="215"/>
      <c r="M84" s="216"/>
    </row>
    <row r="85" spans="1:13" ht="26.4" x14ac:dyDescent="0.25">
      <c r="A85" s="326" t="s">
        <v>251</v>
      </c>
      <c r="B85" s="27">
        <v>1.0320183000000001</v>
      </c>
      <c r="C85" s="27">
        <v>0</v>
      </c>
      <c r="D85" s="27">
        <v>1.0320183000000001</v>
      </c>
      <c r="E85" s="27">
        <v>0.85862919999999998</v>
      </c>
      <c r="F85" s="27">
        <v>0</v>
      </c>
      <c r="G85" s="27">
        <v>0.85862919999999998</v>
      </c>
      <c r="H85" s="27">
        <f t="shared" ref="H85:H88" si="62">E85-B85</f>
        <v>-0.17338910000000007</v>
      </c>
      <c r="I85" s="27">
        <f t="shared" ref="I85:I88" si="63">F85-C85</f>
        <v>0</v>
      </c>
      <c r="J85" s="27">
        <f t="shared" ref="J85:J88" si="64">G85-D85</f>
        <v>-0.17338910000000007</v>
      </c>
      <c r="K85" s="27">
        <f t="shared" ref="K85" si="65">E85/B85%-100</f>
        <v>-16.800971455641829</v>
      </c>
      <c r="L85" s="27"/>
      <c r="M85" s="29">
        <f t="shared" ref="M85" si="66">G85/D85%-100</f>
        <v>-16.800971455641829</v>
      </c>
    </row>
    <row r="86" spans="1:13" s="450" customFormat="1" x14ac:dyDescent="0.25">
      <c r="A86" s="84" t="s">
        <v>252</v>
      </c>
      <c r="B86" s="31">
        <v>16358.715346659999</v>
      </c>
      <c r="C86" s="31">
        <v>14084.80702647</v>
      </c>
      <c r="D86" s="31">
        <v>4141.0339549700002</v>
      </c>
      <c r="E86" s="31">
        <v>19062.30228946</v>
      </c>
      <c r="F86" s="31">
        <v>16746.853777259999</v>
      </c>
      <c r="G86" s="31">
        <v>5166.3971676599995</v>
      </c>
      <c r="H86" s="31">
        <f t="shared" si="62"/>
        <v>2703.5869428000005</v>
      </c>
      <c r="I86" s="31">
        <f t="shared" si="63"/>
        <v>2662.0467507899994</v>
      </c>
      <c r="J86" s="31">
        <f t="shared" si="64"/>
        <v>1025.3632126899993</v>
      </c>
      <c r="K86" s="31">
        <f t="shared" ref="K86:K88" si="67">E86/B86%-100</f>
        <v>16.52689031814468</v>
      </c>
      <c r="L86" s="31">
        <f t="shared" ref="L86:L88" si="68">F86/C86%-100</f>
        <v>18.900129379033274</v>
      </c>
      <c r="M86" s="32">
        <f t="shared" ref="M86:M88" si="69">G86/D86%-100</f>
        <v>24.761043349074086</v>
      </c>
    </row>
    <row r="87" spans="1:13" x14ac:dyDescent="0.25">
      <c r="A87" s="326" t="s">
        <v>253</v>
      </c>
      <c r="B87" s="27">
        <v>641.74325390000001</v>
      </c>
      <c r="C87" s="27">
        <v>641.65483183000003</v>
      </c>
      <c r="D87" s="27">
        <v>8.8422070000000005E-2</v>
      </c>
      <c r="E87" s="27">
        <v>665.93111111999997</v>
      </c>
      <c r="F87" s="27">
        <v>665.88111112000001</v>
      </c>
      <c r="G87" s="27">
        <v>0.05</v>
      </c>
      <c r="H87" s="27">
        <f t="shared" si="62"/>
        <v>24.187857219999955</v>
      </c>
      <c r="I87" s="27">
        <f t="shared" si="63"/>
        <v>24.226279289999979</v>
      </c>
      <c r="J87" s="27">
        <f t="shared" si="64"/>
        <v>-3.8422070000000003E-2</v>
      </c>
      <c r="K87" s="27">
        <f t="shared" si="67"/>
        <v>3.7690863243213926</v>
      </c>
      <c r="L87" s="27">
        <f t="shared" si="68"/>
        <v>3.7755936818720102</v>
      </c>
      <c r="M87" s="29">
        <f t="shared" si="69"/>
        <v>-43.453031579106892</v>
      </c>
    </row>
    <row r="88" spans="1:13" x14ac:dyDescent="0.25">
      <c r="A88" s="326" t="s">
        <v>254</v>
      </c>
      <c r="B88" s="27">
        <v>56.673889520000003</v>
      </c>
      <c r="C88" s="27">
        <v>56.511754520000004</v>
      </c>
      <c r="D88" s="27">
        <v>0.162135</v>
      </c>
      <c r="E88" s="27">
        <v>58.375781350000004</v>
      </c>
      <c r="F88" s="27">
        <v>58.375249709999999</v>
      </c>
      <c r="G88" s="27">
        <v>5.3164E-4</v>
      </c>
      <c r="H88" s="27">
        <f t="shared" si="62"/>
        <v>1.701891830000001</v>
      </c>
      <c r="I88" s="27">
        <f t="shared" si="63"/>
        <v>1.8634951899999947</v>
      </c>
      <c r="J88" s="27">
        <f t="shared" si="64"/>
        <v>-0.16160336</v>
      </c>
      <c r="K88" s="27">
        <f t="shared" si="67"/>
        <v>3.0029557604290034</v>
      </c>
      <c r="L88" s="27">
        <f t="shared" si="68"/>
        <v>3.2975355407528326</v>
      </c>
      <c r="M88" s="29">
        <f t="shared" si="69"/>
        <v>-99.672100410152041</v>
      </c>
    </row>
    <row r="89" spans="1:13" s="217" customFormat="1" hidden="1" x14ac:dyDescent="0.25">
      <c r="A89" s="327" t="s">
        <v>308</v>
      </c>
      <c r="B89" s="215"/>
      <c r="C89" s="215"/>
      <c r="D89" s="215"/>
      <c r="E89" s="215"/>
      <c r="F89" s="215"/>
      <c r="G89" s="215"/>
      <c r="H89" s="215"/>
      <c r="I89" s="215"/>
      <c r="J89" s="215"/>
      <c r="K89" s="215"/>
      <c r="L89" s="215"/>
      <c r="M89" s="216"/>
    </row>
    <row r="90" spans="1:13" x14ac:dyDescent="0.25">
      <c r="A90" s="326" t="s">
        <v>464</v>
      </c>
      <c r="B90" s="27">
        <v>1.95</v>
      </c>
      <c r="C90" s="27">
        <v>1.95</v>
      </c>
      <c r="D90" s="27">
        <v>0</v>
      </c>
      <c r="E90" s="27"/>
      <c r="F90" s="27"/>
      <c r="G90" s="27"/>
      <c r="H90" s="27">
        <f t="shared" ref="H90:H91" si="70">E90-B90</f>
        <v>-1.95</v>
      </c>
      <c r="I90" s="27">
        <f t="shared" ref="I90:I91" si="71">F90-C90</f>
        <v>-1.95</v>
      </c>
      <c r="J90" s="27">
        <f t="shared" ref="J90:J91" si="72">G90-D90</f>
        <v>0</v>
      </c>
      <c r="K90" s="27">
        <f t="shared" ref="K90:K91" si="73">E90/B90%-100</f>
        <v>-100</v>
      </c>
      <c r="L90" s="27">
        <f t="shared" ref="L90:L91" si="74">F90/C90%-100</f>
        <v>-100</v>
      </c>
      <c r="M90" s="29"/>
    </row>
    <row r="91" spans="1:13" x14ac:dyDescent="0.25">
      <c r="A91" s="326" t="s">
        <v>255</v>
      </c>
      <c r="B91" s="27">
        <v>1117.1934753099999</v>
      </c>
      <c r="C91" s="27">
        <v>1108.1464996700001</v>
      </c>
      <c r="D91" s="27">
        <v>9.3469756399999984</v>
      </c>
      <c r="E91" s="27">
        <v>1253.2889441</v>
      </c>
      <c r="F91" s="27">
        <v>1241.8764922</v>
      </c>
      <c r="G91" s="27">
        <v>12.056899900000001</v>
      </c>
      <c r="H91" s="27">
        <f t="shared" si="70"/>
        <v>136.09546879000004</v>
      </c>
      <c r="I91" s="27">
        <f t="shared" si="71"/>
        <v>133.72999252999989</v>
      </c>
      <c r="J91" s="27">
        <f t="shared" si="72"/>
        <v>2.7099242600000029</v>
      </c>
      <c r="K91" s="27">
        <f t="shared" si="73"/>
        <v>12.181906876267448</v>
      </c>
      <c r="L91" s="27">
        <f t="shared" si="74"/>
        <v>12.067898294117612</v>
      </c>
      <c r="M91" s="29">
        <f t="shared" ref="M91" si="75">G91/D91%-100</f>
        <v>28.992525115856665</v>
      </c>
    </row>
    <row r="92" spans="1:13" s="217" customFormat="1" hidden="1" x14ac:dyDescent="0.25">
      <c r="A92" s="327" t="s">
        <v>308</v>
      </c>
      <c r="B92" s="215"/>
      <c r="C92" s="215"/>
      <c r="D92" s="215"/>
      <c r="E92" s="215"/>
      <c r="F92" s="215"/>
      <c r="G92" s="215"/>
      <c r="H92" s="215"/>
      <c r="I92" s="215"/>
      <c r="J92" s="215"/>
      <c r="K92" s="215"/>
      <c r="L92" s="215"/>
      <c r="M92" s="216"/>
    </row>
    <row r="93" spans="1:13" x14ac:dyDescent="0.25">
      <c r="A93" s="326" t="s">
        <v>256</v>
      </c>
      <c r="B93" s="27">
        <v>70.398011799999992</v>
      </c>
      <c r="C93" s="27">
        <v>68.003812370000006</v>
      </c>
      <c r="D93" s="27">
        <v>2.39419943</v>
      </c>
      <c r="E93" s="27">
        <v>25.81943879</v>
      </c>
      <c r="F93" s="27">
        <v>21.814367140000002</v>
      </c>
      <c r="G93" s="27">
        <v>4.0050716499999997</v>
      </c>
      <c r="H93" s="27">
        <f>E93-B93</f>
        <v>-44.578573009999992</v>
      </c>
      <c r="I93" s="27">
        <f>F93-C93</f>
        <v>-46.189445230000004</v>
      </c>
      <c r="J93" s="27">
        <f>G93-D93</f>
        <v>1.6108722199999996</v>
      </c>
      <c r="K93" s="27">
        <f>E93/B93%-100</f>
        <v>-63.323625014648492</v>
      </c>
      <c r="L93" s="27">
        <f>F93/C93%-100</f>
        <v>-67.921846761603845</v>
      </c>
      <c r="M93" s="29">
        <f>G93/D93%-100</f>
        <v>67.282290682025575</v>
      </c>
    </row>
    <row r="94" spans="1:13" s="217" customFormat="1" hidden="1" x14ac:dyDescent="0.25">
      <c r="A94" s="327" t="s">
        <v>308</v>
      </c>
      <c r="B94" s="215"/>
      <c r="C94" s="215"/>
      <c r="D94" s="215"/>
      <c r="E94" s="215"/>
      <c r="F94" s="215"/>
      <c r="G94" s="215"/>
      <c r="H94" s="215"/>
      <c r="I94" s="215"/>
      <c r="J94" s="215"/>
      <c r="K94" s="215"/>
      <c r="L94" s="215"/>
      <c r="M94" s="216"/>
    </row>
    <row r="95" spans="1:13" x14ac:dyDescent="0.25">
      <c r="A95" s="326" t="s">
        <v>257</v>
      </c>
      <c r="B95" s="27">
        <v>1277.35666859</v>
      </c>
      <c r="C95" s="27">
        <v>1276.38524919</v>
      </c>
      <c r="D95" s="27">
        <v>0.97141940000000004</v>
      </c>
      <c r="E95" s="27">
        <v>1452.5563621099998</v>
      </c>
      <c r="F95" s="27">
        <v>1452.1524321099998</v>
      </c>
      <c r="G95" s="27">
        <v>0.40393000000000001</v>
      </c>
      <c r="H95" s="27">
        <f t="shared" ref="H95:H96" si="76">E95-B95</f>
        <v>175.19969351999976</v>
      </c>
      <c r="I95" s="27">
        <f t="shared" ref="I95:I96" si="77">F95-C95</f>
        <v>175.76718291999987</v>
      </c>
      <c r="J95" s="27">
        <f t="shared" ref="J95:J96" si="78">G95-D95</f>
        <v>-0.56748940000000003</v>
      </c>
      <c r="K95" s="27">
        <f t="shared" ref="K95:K96" si="79">E95/B95%-100</f>
        <v>13.715800592593496</v>
      </c>
      <c r="L95" s="27">
        <f t="shared" ref="L95:L96" si="80">F95/C95%-100</f>
        <v>13.770699953759461</v>
      </c>
      <c r="M95" s="29">
        <f t="shared" ref="M95:M96" si="81">G95/D95%-100</f>
        <v>-58.4185780106924</v>
      </c>
    </row>
    <row r="96" spans="1:13" x14ac:dyDescent="0.25">
      <c r="A96" s="326" t="s">
        <v>258</v>
      </c>
      <c r="B96" s="27">
        <v>2504.0123587600001</v>
      </c>
      <c r="C96" s="27">
        <v>2250.6249602100002</v>
      </c>
      <c r="D96" s="27">
        <v>319.07522258999995</v>
      </c>
      <c r="E96" s="27">
        <v>2042.42647745</v>
      </c>
      <c r="F96" s="27">
        <v>1759.06776943</v>
      </c>
      <c r="G96" s="27">
        <v>372.70028836999995</v>
      </c>
      <c r="H96" s="27">
        <f t="shared" si="76"/>
        <v>-461.5858813100001</v>
      </c>
      <c r="I96" s="27">
        <f t="shared" si="77"/>
        <v>-491.55719078000016</v>
      </c>
      <c r="J96" s="27">
        <f t="shared" si="78"/>
        <v>53.62506578</v>
      </c>
      <c r="K96" s="27">
        <f t="shared" si="79"/>
        <v>-18.433849964645532</v>
      </c>
      <c r="L96" s="27">
        <f t="shared" si="80"/>
        <v>-21.840919720988708</v>
      </c>
      <c r="M96" s="29">
        <f t="shared" si="81"/>
        <v>16.806402372680083</v>
      </c>
    </row>
    <row r="97" spans="1:13" s="217" customFormat="1" hidden="1" x14ac:dyDescent="0.25">
      <c r="A97" s="327" t="s">
        <v>308</v>
      </c>
      <c r="B97" s="215"/>
      <c r="C97" s="215"/>
      <c r="D97" s="215"/>
      <c r="E97" s="215"/>
      <c r="F97" s="215"/>
      <c r="G97" s="215"/>
      <c r="H97" s="215"/>
      <c r="I97" s="215"/>
      <c r="J97" s="215"/>
      <c r="K97" s="215"/>
      <c r="L97" s="215"/>
      <c r="M97" s="216"/>
    </row>
    <row r="98" spans="1:13" x14ac:dyDescent="0.25">
      <c r="A98" s="326" t="s">
        <v>259</v>
      </c>
      <c r="B98" s="27">
        <v>9581.7667683899999</v>
      </c>
      <c r="C98" s="27">
        <v>7720.1290587900003</v>
      </c>
      <c r="D98" s="27">
        <v>3656.3358815799998</v>
      </c>
      <c r="E98" s="27">
        <v>12400.134603350001</v>
      </c>
      <c r="F98" s="27">
        <v>10546.341650440001</v>
      </c>
      <c r="G98" s="27">
        <v>4608.7396485099989</v>
      </c>
      <c r="H98" s="27">
        <f>E98-B98</f>
        <v>2818.3678349600013</v>
      </c>
      <c r="I98" s="27">
        <f>F98-C98</f>
        <v>2826.2125916500008</v>
      </c>
      <c r="J98" s="27">
        <f>G98-D98</f>
        <v>952.40376692999916</v>
      </c>
      <c r="K98" s="27">
        <f>E98/B98%-100</f>
        <v>29.413863884244449</v>
      </c>
      <c r="L98" s="27">
        <f>F98/C98%-100</f>
        <v>36.608359395651888</v>
      </c>
      <c r="M98" s="29">
        <f>G98/D98%-100</f>
        <v>26.048038193866361</v>
      </c>
    </row>
    <row r="99" spans="1:13" s="217" customFormat="1" hidden="1" x14ac:dyDescent="0.25">
      <c r="A99" s="327" t="s">
        <v>308</v>
      </c>
      <c r="B99" s="215"/>
      <c r="C99" s="215"/>
      <c r="D99" s="215"/>
      <c r="E99" s="215"/>
      <c r="F99" s="215"/>
      <c r="G99" s="215"/>
      <c r="H99" s="215"/>
      <c r="I99" s="215"/>
      <c r="J99" s="215"/>
      <c r="K99" s="215"/>
      <c r="L99" s="215"/>
      <c r="M99" s="216"/>
    </row>
    <row r="100" spans="1:13" x14ac:dyDescent="0.25">
      <c r="A100" s="326" t="s">
        <v>260</v>
      </c>
      <c r="B100" s="27">
        <v>57.97376912</v>
      </c>
      <c r="C100" s="27">
        <v>43.95517212</v>
      </c>
      <c r="D100" s="27">
        <v>14.018597</v>
      </c>
      <c r="E100" s="27">
        <v>65.757202179999993</v>
      </c>
      <c r="F100" s="27">
        <v>52.366964670000002</v>
      </c>
      <c r="G100" s="27">
        <v>13.39023751</v>
      </c>
      <c r="H100" s="27">
        <f t="shared" ref="H100:H102" si="82">E100-B100</f>
        <v>7.783433059999993</v>
      </c>
      <c r="I100" s="27">
        <f t="shared" ref="I100:I102" si="83">F100-C100</f>
        <v>8.4117925500000013</v>
      </c>
      <c r="J100" s="27">
        <f t="shared" ref="J100:J102" si="84">G100-D100</f>
        <v>-0.62835948999999935</v>
      </c>
      <c r="K100" s="27">
        <f t="shared" ref="K100:K102" si="85">E100/B100%-100</f>
        <v>13.425784071222026</v>
      </c>
      <c r="L100" s="27">
        <f t="shared" ref="L100:L102" si="86">F100/C100%-100</f>
        <v>19.13720762379306</v>
      </c>
      <c r="M100" s="29">
        <f t="shared" ref="M100:M102" si="87">G100/D100%-100</f>
        <v>-4.4823279390940343</v>
      </c>
    </row>
    <row r="101" spans="1:13" ht="26.4" x14ac:dyDescent="0.25">
      <c r="A101" s="326" t="s">
        <v>424</v>
      </c>
      <c r="B101" s="27">
        <v>6.5772640000000004</v>
      </c>
      <c r="C101" s="27">
        <v>6.5772640000000004</v>
      </c>
      <c r="D101" s="27">
        <v>0</v>
      </c>
      <c r="E101" s="27">
        <v>6.0579470000000004</v>
      </c>
      <c r="F101" s="27">
        <v>6.0579470000000004</v>
      </c>
      <c r="G101" s="27">
        <v>0</v>
      </c>
      <c r="H101" s="27">
        <f t="shared" si="82"/>
        <v>-0.51931700000000003</v>
      </c>
      <c r="I101" s="27">
        <f t="shared" si="83"/>
        <v>-0.51931700000000003</v>
      </c>
      <c r="J101" s="27">
        <f t="shared" si="84"/>
        <v>0</v>
      </c>
      <c r="K101" s="27">
        <f t="shared" ref="K101" si="88">E101/B101%-100</f>
        <v>-7.8956386728585102</v>
      </c>
      <c r="L101" s="27">
        <f t="shared" ref="L101" si="89">F101/C101%-100</f>
        <v>-7.8956386728585102</v>
      </c>
      <c r="M101" s="29"/>
    </row>
    <row r="102" spans="1:13" ht="26.4" x14ac:dyDescent="0.25">
      <c r="A102" s="326" t="s">
        <v>261</v>
      </c>
      <c r="B102" s="27">
        <v>1043.06988727</v>
      </c>
      <c r="C102" s="27">
        <v>910.86842376999994</v>
      </c>
      <c r="D102" s="27">
        <v>138.64110226000003</v>
      </c>
      <c r="E102" s="27">
        <v>1091.9544220099999</v>
      </c>
      <c r="F102" s="27">
        <v>942.91979344000003</v>
      </c>
      <c r="G102" s="27">
        <v>155.05056008000005</v>
      </c>
      <c r="H102" s="27">
        <f t="shared" si="82"/>
        <v>48.884534739999935</v>
      </c>
      <c r="I102" s="27">
        <f t="shared" si="83"/>
        <v>32.051369670000099</v>
      </c>
      <c r="J102" s="27">
        <f t="shared" si="84"/>
        <v>16.409457820000029</v>
      </c>
      <c r="K102" s="27">
        <f t="shared" si="85"/>
        <v>4.6866020519434528</v>
      </c>
      <c r="L102" s="27">
        <f t="shared" si="86"/>
        <v>3.5187705308020867</v>
      </c>
      <c r="M102" s="29">
        <f t="shared" si="87"/>
        <v>11.835925676086035</v>
      </c>
    </row>
    <row r="103" spans="1:13" s="217" customFormat="1" hidden="1" x14ac:dyDescent="0.25">
      <c r="A103" s="327" t="s">
        <v>308</v>
      </c>
      <c r="B103" s="215"/>
      <c r="C103" s="215"/>
      <c r="D103" s="215"/>
      <c r="E103" s="215"/>
      <c r="F103" s="215"/>
      <c r="G103" s="215"/>
      <c r="H103" s="215"/>
      <c r="I103" s="215"/>
      <c r="J103" s="215"/>
      <c r="K103" s="215"/>
      <c r="L103" s="215"/>
      <c r="M103" s="216"/>
    </row>
    <row r="104" spans="1:13" s="450" customFormat="1" x14ac:dyDescent="0.25">
      <c r="A104" s="84" t="s">
        <v>262</v>
      </c>
      <c r="B104" s="31">
        <v>7857.4394205400004</v>
      </c>
      <c r="C104" s="31">
        <v>6020.9379128500004</v>
      </c>
      <c r="D104" s="31">
        <v>3217.9379724300002</v>
      </c>
      <c r="E104" s="31">
        <v>12398.658851440001</v>
      </c>
      <c r="F104" s="31">
        <v>10291.934814370001</v>
      </c>
      <c r="G104" s="31">
        <v>5442.1152966099999</v>
      </c>
      <c r="H104" s="31">
        <f t="shared" ref="H104:H105" si="90">E104-B104</f>
        <v>4541.2194309000006</v>
      </c>
      <c r="I104" s="31">
        <f t="shared" ref="I104:I105" si="91">F104-C104</f>
        <v>4270.9969015200004</v>
      </c>
      <c r="J104" s="31">
        <f t="shared" ref="J104:J105" si="92">G104-D104</f>
        <v>2224.1773241799997</v>
      </c>
      <c r="K104" s="31">
        <f t="shared" ref="K104" si="93">E104/B104%-100</f>
        <v>57.795156766069056</v>
      </c>
      <c r="L104" s="31">
        <f t="shared" ref="L104" si="94">F104/C104%-100</f>
        <v>70.935740632780124</v>
      </c>
      <c r="M104" s="32">
        <f t="shared" ref="M104:M105" si="95">G104/D104%-100</f>
        <v>69.118091872368524</v>
      </c>
    </row>
    <row r="105" spans="1:13" ht="26.4" x14ac:dyDescent="0.25">
      <c r="A105" s="326" t="s">
        <v>263</v>
      </c>
      <c r="B105" s="27">
        <v>1897.46157272</v>
      </c>
      <c r="C105" s="27">
        <v>1239.4615250100001</v>
      </c>
      <c r="D105" s="27">
        <v>1541.95494207</v>
      </c>
      <c r="E105" s="27">
        <v>3855.61868271</v>
      </c>
      <c r="F105" s="27">
        <v>3190.53505954</v>
      </c>
      <c r="G105" s="27">
        <v>2639.5314852000001</v>
      </c>
      <c r="H105" s="27">
        <f t="shared" si="90"/>
        <v>1958.15710999</v>
      </c>
      <c r="I105" s="27">
        <f t="shared" si="91"/>
        <v>1951.07353453</v>
      </c>
      <c r="J105" s="27">
        <f t="shared" si="92"/>
        <v>1097.5765431300001</v>
      </c>
      <c r="K105" s="43" t="s">
        <v>660</v>
      </c>
      <c r="L105" s="43" t="s">
        <v>589</v>
      </c>
      <c r="M105" s="29">
        <f t="shared" si="95"/>
        <v>71.180844082029836</v>
      </c>
    </row>
    <row r="106" spans="1:13" s="217" customFormat="1" hidden="1" x14ac:dyDescent="0.25">
      <c r="A106" s="327" t="s">
        <v>308</v>
      </c>
      <c r="B106" s="215"/>
      <c r="C106" s="215"/>
      <c r="D106" s="215"/>
      <c r="E106" s="215"/>
      <c r="F106" s="215"/>
      <c r="G106" s="215"/>
      <c r="H106" s="215"/>
      <c r="I106" s="215"/>
      <c r="J106" s="215"/>
      <c r="K106" s="215"/>
      <c r="L106" s="215"/>
      <c r="M106" s="216"/>
    </row>
    <row r="107" spans="1:13" ht="26.4" x14ac:dyDescent="0.25">
      <c r="A107" s="326" t="s">
        <v>423</v>
      </c>
      <c r="B107" s="27">
        <v>4426.5055123299999</v>
      </c>
      <c r="C107" s="27">
        <v>4211.9817886500005</v>
      </c>
      <c r="D107" s="27">
        <v>319.74985617999999</v>
      </c>
      <c r="E107" s="27">
        <v>6460.1233909299999</v>
      </c>
      <c r="F107" s="27">
        <v>6033.1301402700001</v>
      </c>
      <c r="G107" s="27">
        <v>776.16550147999999</v>
      </c>
      <c r="H107" s="27">
        <f>E107-B107</f>
        <v>2033.6178786</v>
      </c>
      <c r="I107" s="27">
        <f>F107-C107</f>
        <v>1821.1483516199996</v>
      </c>
      <c r="J107" s="27">
        <f>G107-D107</f>
        <v>456.41564529999999</v>
      </c>
      <c r="K107" s="27">
        <f>E107/B107%-100</f>
        <v>45.941835448648419</v>
      </c>
      <c r="L107" s="27">
        <f>F107/C107%-100</f>
        <v>43.237327296320132</v>
      </c>
      <c r="M107" s="40" t="s">
        <v>586</v>
      </c>
    </row>
    <row r="108" spans="1:13" s="217" customFormat="1" hidden="1" x14ac:dyDescent="0.25">
      <c r="A108" s="327" t="s">
        <v>308</v>
      </c>
      <c r="B108" s="215"/>
      <c r="C108" s="215"/>
      <c r="D108" s="215"/>
      <c r="E108" s="215"/>
      <c r="F108" s="215"/>
      <c r="G108" s="215"/>
      <c r="H108" s="215"/>
      <c r="I108" s="215"/>
      <c r="J108" s="215"/>
      <c r="K108" s="215"/>
      <c r="L108" s="215"/>
      <c r="M108" s="216"/>
    </row>
    <row r="109" spans="1:13" x14ac:dyDescent="0.25">
      <c r="A109" s="326" t="s">
        <v>264</v>
      </c>
      <c r="B109" s="27">
        <v>1134.5099933499998</v>
      </c>
      <c r="C109" s="27">
        <v>383.01190047</v>
      </c>
      <c r="D109" s="27">
        <v>1134.5099933499998</v>
      </c>
      <c r="E109" s="27">
        <v>1569.6442860999998</v>
      </c>
      <c r="F109" s="27">
        <v>723.67236550999996</v>
      </c>
      <c r="G109" s="27">
        <v>1569.6442861</v>
      </c>
      <c r="H109" s="27">
        <f>E109-B109</f>
        <v>435.13429274999999</v>
      </c>
      <c r="I109" s="27">
        <f>F109-C109</f>
        <v>340.66046503999996</v>
      </c>
      <c r="J109" s="27">
        <f>G109-D109</f>
        <v>435.13429275000021</v>
      </c>
      <c r="K109" s="27">
        <f>E109/B109%-100</f>
        <v>38.354381653803529</v>
      </c>
      <c r="L109" s="27">
        <f>F109/C109%-100</f>
        <v>88.942527535559606</v>
      </c>
      <c r="M109" s="29">
        <f>G109/D109%-100</f>
        <v>38.354381653803557</v>
      </c>
    </row>
    <row r="110" spans="1:13" s="217" customFormat="1" hidden="1" x14ac:dyDescent="0.25">
      <c r="A110" s="327" t="s">
        <v>308</v>
      </c>
      <c r="B110" s="215"/>
      <c r="C110" s="215"/>
      <c r="D110" s="215"/>
      <c r="E110" s="215"/>
      <c r="F110" s="215"/>
      <c r="G110" s="215"/>
      <c r="H110" s="215"/>
      <c r="I110" s="215"/>
      <c r="J110" s="215"/>
      <c r="K110" s="215"/>
      <c r="L110" s="215"/>
      <c r="M110" s="216"/>
    </row>
    <row r="111" spans="1:13" ht="26.4" x14ac:dyDescent="0.25">
      <c r="A111" s="326" t="s">
        <v>265</v>
      </c>
      <c r="B111" s="27">
        <v>398.96234213999998</v>
      </c>
      <c r="C111" s="27">
        <v>186.48269872</v>
      </c>
      <c r="D111" s="27">
        <v>221.72318082999999</v>
      </c>
      <c r="E111" s="27">
        <v>513.27249169999993</v>
      </c>
      <c r="F111" s="27">
        <v>344.59724905000002</v>
      </c>
      <c r="G111" s="27">
        <v>456.77402382999992</v>
      </c>
      <c r="H111" s="27">
        <f>E111-B111</f>
        <v>114.31014955999996</v>
      </c>
      <c r="I111" s="27">
        <f>F111-C111</f>
        <v>158.11455033000001</v>
      </c>
      <c r="J111" s="27">
        <f>G111-D111</f>
        <v>235.05084299999993</v>
      </c>
      <c r="K111" s="27">
        <f t="shared" ref="K111" si="96">E111/B111%-100</f>
        <v>28.65186447092978</v>
      </c>
      <c r="L111" s="27">
        <f t="shared" ref="L111" si="97">F111/C111%-100</f>
        <v>84.787785363083913</v>
      </c>
      <c r="M111" s="40" t="s">
        <v>591</v>
      </c>
    </row>
    <row r="112" spans="1:13" s="217" customFormat="1" hidden="1" x14ac:dyDescent="0.25">
      <c r="A112" s="327" t="s">
        <v>308</v>
      </c>
      <c r="B112" s="215"/>
      <c r="C112" s="215"/>
      <c r="D112" s="215"/>
      <c r="E112" s="215"/>
      <c r="F112" s="215"/>
      <c r="G112" s="215"/>
      <c r="H112" s="215"/>
      <c r="I112" s="215"/>
      <c r="J112" s="215"/>
      <c r="K112" s="215"/>
      <c r="L112" s="215"/>
      <c r="M112" s="216"/>
    </row>
    <row r="113" spans="1:13" s="450" customFormat="1" ht="26.4" x14ac:dyDescent="0.25">
      <c r="A113" s="214" t="s">
        <v>266</v>
      </c>
      <c r="B113" s="31">
        <v>347.95198749999997</v>
      </c>
      <c r="C113" s="31">
        <v>418.27677511000002</v>
      </c>
      <c r="D113" s="31">
        <v>55.697047179999998</v>
      </c>
      <c r="E113" s="31">
        <v>447.17595442000004</v>
      </c>
      <c r="F113" s="31">
        <v>409.73880444000002</v>
      </c>
      <c r="G113" s="31">
        <v>155.98283280999999</v>
      </c>
      <c r="H113" s="31">
        <f t="shared" ref="H113:H114" si="98">E113-B113</f>
        <v>99.223966920000066</v>
      </c>
      <c r="I113" s="31">
        <f t="shared" ref="I113:I114" si="99">F113-C113</f>
        <v>-8.5379706699999929</v>
      </c>
      <c r="J113" s="31">
        <f t="shared" ref="J113:J114" si="100">G113-D113</f>
        <v>100.28578562999999</v>
      </c>
      <c r="K113" s="31">
        <f t="shared" ref="K113:K114" si="101">E113/B113%-100</f>
        <v>28.516568516511228</v>
      </c>
      <c r="L113" s="31">
        <f t="shared" ref="L113:L114" si="102">F113/C113%-100</f>
        <v>-2.0412251356185465</v>
      </c>
      <c r="M113" s="91" t="s">
        <v>659</v>
      </c>
    </row>
    <row r="114" spans="1:13" x14ac:dyDescent="0.25">
      <c r="A114" s="326" t="s">
        <v>267</v>
      </c>
      <c r="B114" s="27">
        <v>2.5910000000000002</v>
      </c>
      <c r="C114" s="27">
        <v>2.5</v>
      </c>
      <c r="D114" s="27">
        <v>2.5910000000000002</v>
      </c>
      <c r="E114" s="27"/>
      <c r="F114" s="27"/>
      <c r="G114" s="27"/>
      <c r="H114" s="27">
        <f t="shared" si="98"/>
        <v>-2.5910000000000002</v>
      </c>
      <c r="I114" s="27">
        <f t="shared" si="99"/>
        <v>-2.5</v>
      </c>
      <c r="J114" s="27">
        <f t="shared" si="100"/>
        <v>-2.5910000000000002</v>
      </c>
      <c r="K114" s="27">
        <f t="shared" si="101"/>
        <v>-100</v>
      </c>
      <c r="L114" s="27">
        <f t="shared" si="102"/>
        <v>-100</v>
      </c>
      <c r="M114" s="29">
        <f t="shared" ref="M114" si="103">G114/D114%-100</f>
        <v>-100</v>
      </c>
    </row>
    <row r="115" spans="1:13" s="217" customFormat="1" hidden="1" x14ac:dyDescent="0.25">
      <c r="A115" s="327" t="s">
        <v>308</v>
      </c>
      <c r="B115" s="215"/>
      <c r="C115" s="215"/>
      <c r="D115" s="215"/>
      <c r="E115" s="215"/>
      <c r="F115" s="215"/>
      <c r="G115" s="215"/>
      <c r="H115" s="215"/>
      <c r="I115" s="215"/>
      <c r="J115" s="215"/>
      <c r="K115" s="215"/>
      <c r="L115" s="215"/>
      <c r="M115" s="216"/>
    </row>
    <row r="116" spans="1:13" ht="26.4" x14ac:dyDescent="0.25">
      <c r="A116" s="326" t="s">
        <v>268</v>
      </c>
      <c r="B116" s="27">
        <v>45.899464359999996</v>
      </c>
      <c r="C116" s="27">
        <v>45.343608359999998</v>
      </c>
      <c r="D116" s="27">
        <v>0.55585600000000002</v>
      </c>
      <c r="E116" s="27">
        <v>88.808813540000003</v>
      </c>
      <c r="F116" s="27">
        <v>88.033100230000002</v>
      </c>
      <c r="G116" s="27">
        <f>0.82576331-G117</f>
        <v>0.77571330999999999</v>
      </c>
      <c r="H116" s="27">
        <f t="shared" ref="H116:H119" si="104">E116-B116</f>
        <v>42.909349180000007</v>
      </c>
      <c r="I116" s="27">
        <f t="shared" ref="I116:I119" si="105">F116-C116</f>
        <v>42.689491870000005</v>
      </c>
      <c r="J116" s="27">
        <f t="shared" ref="J116:J119" si="106">G116-D116</f>
        <v>0.21985730999999997</v>
      </c>
      <c r="K116" s="27">
        <f t="shared" ref="K116" si="107">E116/B116%-100</f>
        <v>93.485511820905288</v>
      </c>
      <c r="L116" s="27">
        <f t="shared" ref="L116" si="108">F116/C116%-100</f>
        <v>94.146657961298615</v>
      </c>
      <c r="M116" s="29">
        <f t="shared" ref="M116" si="109">G116/D116%-100</f>
        <v>39.552925577847475</v>
      </c>
    </row>
    <row r="117" spans="1:13" hidden="1" x14ac:dyDescent="0.25">
      <c r="A117" s="327" t="s">
        <v>308</v>
      </c>
      <c r="B117" s="215"/>
      <c r="C117" s="215"/>
      <c r="D117" s="215"/>
      <c r="E117" s="215">
        <v>0</v>
      </c>
      <c r="F117" s="215">
        <v>0</v>
      </c>
      <c r="G117" s="215">
        <v>5.0049999999999997E-2</v>
      </c>
      <c r="H117" s="215"/>
      <c r="I117" s="215"/>
      <c r="J117" s="215"/>
      <c r="K117" s="215"/>
      <c r="L117" s="215"/>
      <c r="M117" s="216"/>
    </row>
    <row r="118" spans="1:13" ht="26.4" hidden="1" x14ac:dyDescent="0.25">
      <c r="A118" s="326" t="s">
        <v>387</v>
      </c>
      <c r="B118" s="27"/>
      <c r="C118" s="27"/>
      <c r="D118" s="27"/>
      <c r="E118" s="27"/>
      <c r="F118" s="27"/>
      <c r="G118" s="27"/>
      <c r="H118" s="27">
        <f t="shared" si="104"/>
        <v>0</v>
      </c>
      <c r="I118" s="27">
        <f t="shared" si="105"/>
        <v>0</v>
      </c>
      <c r="J118" s="27">
        <f t="shared" si="106"/>
        <v>0</v>
      </c>
      <c r="K118" s="27"/>
      <c r="L118" s="27"/>
      <c r="M118" s="29"/>
    </row>
    <row r="119" spans="1:13" ht="26.4" x14ac:dyDescent="0.25">
      <c r="A119" s="326" t="s">
        <v>269</v>
      </c>
      <c r="B119" s="27">
        <v>299.46152314</v>
      </c>
      <c r="C119" s="27">
        <v>370.43316675</v>
      </c>
      <c r="D119" s="27">
        <v>52.550191179999999</v>
      </c>
      <c r="E119" s="27">
        <v>358.36714088000002</v>
      </c>
      <c r="F119" s="27">
        <v>321.70570420999996</v>
      </c>
      <c r="G119" s="27">
        <f>207.05237839-G120</f>
        <v>155.2071195</v>
      </c>
      <c r="H119" s="27">
        <f t="shared" si="104"/>
        <v>58.905617740000025</v>
      </c>
      <c r="I119" s="27">
        <f t="shared" si="105"/>
        <v>-48.727462540000033</v>
      </c>
      <c r="J119" s="27">
        <f t="shared" si="106"/>
        <v>102.65692832000001</v>
      </c>
      <c r="K119" s="27">
        <f t="shared" ref="K119" si="110">E119/B119%-100</f>
        <v>19.670512966856606</v>
      </c>
      <c r="L119" s="27">
        <f t="shared" ref="L119" si="111">F119/C119%-100</f>
        <v>-13.154184590842945</v>
      </c>
      <c r="M119" s="40" t="s">
        <v>657</v>
      </c>
    </row>
    <row r="120" spans="1:13" s="217" customFormat="1" hidden="1" x14ac:dyDescent="0.25">
      <c r="A120" s="327" t="s">
        <v>308</v>
      </c>
      <c r="B120" s="215"/>
      <c r="C120" s="215"/>
      <c r="D120" s="215"/>
      <c r="E120" s="215">
        <v>0</v>
      </c>
      <c r="F120" s="215">
        <v>118.54568283</v>
      </c>
      <c r="G120" s="215">
        <v>51.845258890000004</v>
      </c>
      <c r="H120" s="215"/>
      <c r="I120" s="215"/>
      <c r="J120" s="215"/>
      <c r="K120" s="215"/>
      <c r="L120" s="215"/>
      <c r="M120" s="216"/>
    </row>
    <row r="121" spans="1:13" s="450" customFormat="1" x14ac:dyDescent="0.25">
      <c r="A121" s="84" t="s">
        <v>270</v>
      </c>
      <c r="B121" s="31">
        <v>32136.263911180002</v>
      </c>
      <c r="C121" s="31">
        <v>22601.940855209999</v>
      </c>
      <c r="D121" s="31">
        <v>25823.458204500002</v>
      </c>
      <c r="E121" s="31">
        <v>35707.463299269999</v>
      </c>
      <c r="F121" s="31">
        <v>26327.339396919997</v>
      </c>
      <c r="G121" s="31">
        <v>28935.418798529998</v>
      </c>
      <c r="H121" s="31">
        <f t="shared" ref="H121:H122" si="112">E121-B121</f>
        <v>3571.1993880899972</v>
      </c>
      <c r="I121" s="31">
        <f t="shared" ref="I121:I122" si="113">F121-C121</f>
        <v>3725.3985417099975</v>
      </c>
      <c r="J121" s="31">
        <f t="shared" ref="J121:J122" si="114">G121-D121</f>
        <v>3111.9605940299953</v>
      </c>
      <c r="K121" s="31">
        <f t="shared" ref="K121:K122" si="115">E121/B121%-100</f>
        <v>11.11267755940851</v>
      </c>
      <c r="L121" s="31">
        <f t="shared" ref="L121:L122" si="116">F121/C121%-100</f>
        <v>16.482648837881769</v>
      </c>
      <c r="M121" s="32">
        <f t="shared" ref="M121:M122" si="117">G121/D121%-100</f>
        <v>12.050905689648118</v>
      </c>
    </row>
    <row r="122" spans="1:13" x14ac:dyDescent="0.25">
      <c r="A122" s="326" t="s">
        <v>271</v>
      </c>
      <c r="B122" s="27">
        <v>10356.94867677</v>
      </c>
      <c r="C122" s="27">
        <v>1168.46300862</v>
      </c>
      <c r="D122" s="27">
        <v>10344.133176770001</v>
      </c>
      <c r="E122" s="27">
        <v>11452.629164</v>
      </c>
      <c r="F122" s="27">
        <v>2032.2266512599999</v>
      </c>
      <c r="G122" s="27">
        <v>11426.329401950001</v>
      </c>
      <c r="H122" s="27">
        <f t="shared" si="112"/>
        <v>1095.6804872299999</v>
      </c>
      <c r="I122" s="27">
        <f t="shared" si="113"/>
        <v>863.76364263999994</v>
      </c>
      <c r="J122" s="27">
        <f t="shared" si="114"/>
        <v>1082.1962251799996</v>
      </c>
      <c r="K122" s="27">
        <f t="shared" si="115"/>
        <v>10.579182357903775</v>
      </c>
      <c r="L122" s="27">
        <f t="shared" si="116"/>
        <v>73.923062712968402</v>
      </c>
      <c r="M122" s="29">
        <f t="shared" si="117"/>
        <v>10.461932446986538</v>
      </c>
    </row>
    <row r="123" spans="1:13" s="217" customFormat="1" hidden="1" x14ac:dyDescent="0.25">
      <c r="A123" s="327" t="s">
        <v>308</v>
      </c>
      <c r="B123" s="215"/>
      <c r="C123" s="215"/>
      <c r="D123" s="215"/>
      <c r="E123" s="215"/>
      <c r="F123" s="215"/>
      <c r="G123" s="215"/>
      <c r="H123" s="215"/>
      <c r="I123" s="215"/>
      <c r="J123" s="215"/>
      <c r="K123" s="215"/>
      <c r="L123" s="215"/>
      <c r="M123" s="216"/>
    </row>
    <row r="124" spans="1:13" x14ac:dyDescent="0.25">
      <c r="A124" s="326" t="s">
        <v>272</v>
      </c>
      <c r="B124" s="27">
        <v>14580.9197332</v>
      </c>
      <c r="C124" s="27">
        <v>16639.12262564</v>
      </c>
      <c r="D124" s="27">
        <v>12371.2255804</v>
      </c>
      <c r="E124" s="27">
        <v>17112.549957169998</v>
      </c>
      <c r="F124" s="27">
        <v>19222.929382669998</v>
      </c>
      <c r="G124" s="27">
        <v>14747.132574700001</v>
      </c>
      <c r="H124" s="27">
        <f>E124-B124</f>
        <v>2531.630223969998</v>
      </c>
      <c r="I124" s="27">
        <f>F124-C124</f>
        <v>2583.8067570299972</v>
      </c>
      <c r="J124" s="27">
        <f>G124-D124</f>
        <v>2375.9069943000013</v>
      </c>
      <c r="K124" s="27">
        <f>E124/B124%-100</f>
        <v>17.36262369105296</v>
      </c>
      <c r="L124" s="27">
        <f>F124/C124%-100</f>
        <v>15.528503606605355</v>
      </c>
      <c r="M124" s="29">
        <f>G124/D124%-100</f>
        <v>19.205106065353803</v>
      </c>
    </row>
    <row r="125" spans="1:13" s="217" customFormat="1" hidden="1" x14ac:dyDescent="0.25">
      <c r="A125" s="327" t="s">
        <v>308</v>
      </c>
      <c r="B125" s="215"/>
      <c r="C125" s="215"/>
      <c r="D125" s="215"/>
      <c r="E125" s="215"/>
      <c r="F125" s="215"/>
      <c r="G125" s="215"/>
      <c r="H125" s="215"/>
      <c r="I125" s="215"/>
      <c r="J125" s="215"/>
      <c r="K125" s="215"/>
      <c r="L125" s="215"/>
      <c r="M125" s="216"/>
    </row>
    <row r="126" spans="1:13" x14ac:dyDescent="0.25">
      <c r="A126" s="326" t="s">
        <v>334</v>
      </c>
      <c r="B126" s="27">
        <v>2638.25596245</v>
      </c>
      <c r="C126" s="27">
        <v>317.11471869000002</v>
      </c>
      <c r="D126" s="27">
        <v>2428.0673150399998</v>
      </c>
      <c r="E126" s="27">
        <v>2586.5212177399999</v>
      </c>
      <c r="F126" s="27">
        <v>568.48662860000002</v>
      </c>
      <c r="G126" s="27">
        <v>2157.1979907</v>
      </c>
      <c r="H126" s="27">
        <f>E126-B126</f>
        <v>-51.734744710000086</v>
      </c>
      <c r="I126" s="27">
        <f>F126-C126</f>
        <v>251.37190991</v>
      </c>
      <c r="J126" s="27">
        <f>G126-D126</f>
        <v>-270.86932433999982</v>
      </c>
      <c r="K126" s="27">
        <f>E126/B126%-100</f>
        <v>-1.9609448607843518</v>
      </c>
      <c r="L126" s="27">
        <f>F126/C126%-100</f>
        <v>79.268446115783149</v>
      </c>
      <c r="M126" s="29">
        <f>G126/D126%-100</f>
        <v>-11.155758436439299</v>
      </c>
    </row>
    <row r="127" spans="1:13" s="217" customFormat="1" hidden="1" x14ac:dyDescent="0.25">
      <c r="A127" s="327" t="s">
        <v>308</v>
      </c>
      <c r="B127" s="215"/>
      <c r="C127" s="215"/>
      <c r="D127" s="215"/>
      <c r="E127" s="215"/>
      <c r="F127" s="215"/>
      <c r="G127" s="215"/>
      <c r="H127" s="215"/>
      <c r="I127" s="215"/>
      <c r="J127" s="215"/>
      <c r="K127" s="215"/>
      <c r="L127" s="215"/>
      <c r="M127" s="216"/>
    </row>
    <row r="128" spans="1:13" x14ac:dyDescent="0.25">
      <c r="A128" s="326" t="s">
        <v>273</v>
      </c>
      <c r="B128" s="27">
        <v>2867.7690959400002</v>
      </c>
      <c r="C128" s="27">
        <v>2867.7690959400002</v>
      </c>
      <c r="D128" s="27">
        <v>0</v>
      </c>
      <c r="E128" s="27">
        <v>2968.0309362800003</v>
      </c>
      <c r="F128" s="27">
        <v>2968.0309362800003</v>
      </c>
      <c r="G128" s="27">
        <v>0</v>
      </c>
      <c r="H128" s="27">
        <f t="shared" ref="H128:H131" si="118">E128-B128</f>
        <v>100.26184034000016</v>
      </c>
      <c r="I128" s="27">
        <f t="shared" ref="I128:I131" si="119">F128-C128</f>
        <v>100.26184034000016</v>
      </c>
      <c r="J128" s="27">
        <f t="shared" ref="J128:J131" si="120">G128-D128</f>
        <v>0</v>
      </c>
      <c r="K128" s="27">
        <f t="shared" ref="K128:K131" si="121">E128/B128%-100</f>
        <v>3.4961615452912156</v>
      </c>
      <c r="L128" s="27">
        <f t="shared" ref="L128:L131" si="122">F128/C128%-100</f>
        <v>3.4961615452912156</v>
      </c>
      <c r="M128" s="29"/>
    </row>
    <row r="129" spans="1:13" ht="26.4" x14ac:dyDescent="0.25">
      <c r="A129" s="326" t="s">
        <v>274</v>
      </c>
      <c r="B129" s="27">
        <v>152.96005538999998</v>
      </c>
      <c r="C129" s="27">
        <v>149.60604884</v>
      </c>
      <c r="D129" s="27">
        <v>3.3540065499999998</v>
      </c>
      <c r="E129" s="27">
        <v>154.67000824000002</v>
      </c>
      <c r="F129" s="27">
        <v>152.92045780000001</v>
      </c>
      <c r="G129" s="27">
        <v>1.7495504399999999</v>
      </c>
      <c r="H129" s="27">
        <f t="shared" si="118"/>
        <v>1.7099528500000361</v>
      </c>
      <c r="I129" s="27">
        <f t="shared" si="119"/>
        <v>3.3144089600000086</v>
      </c>
      <c r="J129" s="27">
        <f t="shared" si="120"/>
        <v>-1.6044561099999999</v>
      </c>
      <c r="K129" s="27">
        <f t="shared" si="121"/>
        <v>1.1179081006738727</v>
      </c>
      <c r="L129" s="27">
        <f t="shared" si="122"/>
        <v>2.215424433503145</v>
      </c>
      <c r="M129" s="29">
        <f t="shared" ref="M129:M131" si="123">G129/D129%-100</f>
        <v>-47.836999900909561</v>
      </c>
    </row>
    <row r="130" spans="1:13" ht="26.4" x14ac:dyDescent="0.25">
      <c r="A130" s="326" t="s">
        <v>425</v>
      </c>
      <c r="B130" s="27">
        <v>0.35260000000000002</v>
      </c>
      <c r="C130" s="27">
        <v>0.35260000000000002</v>
      </c>
      <c r="D130" s="27">
        <v>0</v>
      </c>
      <c r="E130" s="27"/>
      <c r="F130" s="27"/>
      <c r="G130" s="27"/>
      <c r="H130" s="27">
        <f t="shared" si="118"/>
        <v>-0.35260000000000002</v>
      </c>
      <c r="I130" s="27">
        <f t="shared" si="119"/>
        <v>-0.35260000000000002</v>
      </c>
      <c r="J130" s="27">
        <f t="shared" si="120"/>
        <v>0</v>
      </c>
      <c r="K130" s="27">
        <f t="shared" si="121"/>
        <v>-100</v>
      </c>
      <c r="L130" s="27">
        <f t="shared" si="122"/>
        <v>-100</v>
      </c>
      <c r="M130" s="29"/>
    </row>
    <row r="131" spans="1:13" x14ac:dyDescent="0.25">
      <c r="A131" s="326" t="s">
        <v>335</v>
      </c>
      <c r="B131" s="27">
        <v>753.61562678999996</v>
      </c>
      <c r="C131" s="27">
        <v>646.31042902000002</v>
      </c>
      <c r="D131" s="27">
        <v>199.00807467000001</v>
      </c>
      <c r="E131" s="27">
        <v>552.56466537999995</v>
      </c>
      <c r="F131" s="27">
        <v>482.26372950000001</v>
      </c>
      <c r="G131" s="27">
        <v>116.86530145</v>
      </c>
      <c r="H131" s="27">
        <f t="shared" si="118"/>
        <v>-201.05096141000001</v>
      </c>
      <c r="I131" s="27">
        <f t="shared" si="119"/>
        <v>-164.04669952</v>
      </c>
      <c r="J131" s="27">
        <f t="shared" si="120"/>
        <v>-82.142773220000009</v>
      </c>
      <c r="K131" s="27">
        <f t="shared" si="121"/>
        <v>-26.678183713675068</v>
      </c>
      <c r="L131" s="27">
        <f t="shared" si="122"/>
        <v>-25.382028844675133</v>
      </c>
      <c r="M131" s="29">
        <f t="shared" si="123"/>
        <v>-41.276100658835645</v>
      </c>
    </row>
    <row r="132" spans="1:13" s="217" customFormat="1" hidden="1" x14ac:dyDescent="0.25">
      <c r="A132" s="327" t="s">
        <v>308</v>
      </c>
      <c r="B132" s="215"/>
      <c r="C132" s="215"/>
      <c r="D132" s="215"/>
      <c r="E132" s="215"/>
      <c r="F132" s="215"/>
      <c r="G132" s="215"/>
      <c r="H132" s="215"/>
      <c r="I132" s="215"/>
      <c r="J132" s="215"/>
      <c r="K132" s="215"/>
      <c r="L132" s="215"/>
      <c r="M132" s="216"/>
    </row>
    <row r="133" spans="1:13" ht="26.4" x14ac:dyDescent="0.25">
      <c r="A133" s="326" t="s">
        <v>275</v>
      </c>
      <c r="B133" s="27">
        <v>7.0960307</v>
      </c>
      <c r="C133" s="27">
        <v>7.0960307</v>
      </c>
      <c r="D133" s="27">
        <v>0</v>
      </c>
      <c r="E133" s="27">
        <v>8.5051142100000003</v>
      </c>
      <c r="F133" s="27">
        <v>8.5051142100000003</v>
      </c>
      <c r="G133" s="27">
        <v>0</v>
      </c>
      <c r="H133" s="27">
        <f t="shared" ref="H133:H134" si="124">E133-B133</f>
        <v>1.4090835100000003</v>
      </c>
      <c r="I133" s="27">
        <f t="shared" ref="I133:I134" si="125">F133-C133</f>
        <v>1.4090835100000003</v>
      </c>
      <c r="J133" s="27">
        <f t="shared" ref="J133:J134" si="126">G133-D133</f>
        <v>0</v>
      </c>
      <c r="K133" s="27">
        <f t="shared" ref="K133:K134" si="127">E133/B133%-100</f>
        <v>19.857347995971892</v>
      </c>
      <c r="L133" s="27">
        <f t="shared" ref="L133:L134" si="128">F133/C133%-100</f>
        <v>19.857347995971892</v>
      </c>
      <c r="M133" s="29"/>
    </row>
    <row r="134" spans="1:13" x14ac:dyDescent="0.25">
      <c r="A134" s="326" t="s">
        <v>276</v>
      </c>
      <c r="B134" s="27">
        <v>778.34612994000008</v>
      </c>
      <c r="C134" s="27">
        <v>806.10629775999996</v>
      </c>
      <c r="D134" s="27">
        <v>477.67005107</v>
      </c>
      <c r="E134" s="27">
        <v>871.99223625000002</v>
      </c>
      <c r="F134" s="27">
        <v>891.97649660000002</v>
      </c>
      <c r="G134" s="27">
        <v>486.14397928999995</v>
      </c>
      <c r="H134" s="27">
        <f t="shared" si="124"/>
        <v>93.646106309999936</v>
      </c>
      <c r="I134" s="27">
        <f t="shared" si="125"/>
        <v>85.870198840000057</v>
      </c>
      <c r="J134" s="27">
        <f t="shared" si="126"/>
        <v>8.4739282199999479</v>
      </c>
      <c r="K134" s="27">
        <f t="shared" si="127"/>
        <v>12.031421845345179</v>
      </c>
      <c r="L134" s="27">
        <f t="shared" si="128"/>
        <v>10.652465943835864</v>
      </c>
      <c r="M134" s="29">
        <f t="shared" ref="M134" si="129">G134/D134%-100</f>
        <v>1.7740128779307014</v>
      </c>
    </row>
    <row r="135" spans="1:13" s="217" customFormat="1" hidden="1" x14ac:dyDescent="0.25">
      <c r="A135" s="327" t="s">
        <v>308</v>
      </c>
      <c r="B135" s="215"/>
      <c r="C135" s="215"/>
      <c r="D135" s="215"/>
      <c r="E135" s="215"/>
      <c r="F135" s="215"/>
      <c r="G135" s="215"/>
      <c r="H135" s="215"/>
      <c r="I135" s="215"/>
      <c r="J135" s="215"/>
      <c r="K135" s="215"/>
      <c r="L135" s="215"/>
      <c r="M135" s="216"/>
    </row>
    <row r="136" spans="1:13" s="450" customFormat="1" x14ac:dyDescent="0.25">
      <c r="A136" s="84" t="s">
        <v>277</v>
      </c>
      <c r="B136" s="31">
        <v>4098.1928961499998</v>
      </c>
      <c r="C136" s="31">
        <v>1384.0074118099999</v>
      </c>
      <c r="D136" s="31">
        <v>2918.2769286099997</v>
      </c>
      <c r="E136" s="31">
        <v>4373.15574586</v>
      </c>
      <c r="F136" s="31">
        <v>1603.91203045</v>
      </c>
      <c r="G136" s="31">
        <v>3114.7753106</v>
      </c>
      <c r="H136" s="31">
        <f t="shared" ref="H136:H137" si="130">E136-B136</f>
        <v>274.96284971000023</v>
      </c>
      <c r="I136" s="31">
        <f t="shared" ref="I136:I137" si="131">F136-C136</f>
        <v>219.90461864000008</v>
      </c>
      <c r="J136" s="31">
        <f t="shared" ref="J136:J137" si="132">G136-D136</f>
        <v>196.49838199000033</v>
      </c>
      <c r="K136" s="31">
        <f t="shared" ref="K136:K137" si="133">E136/B136%-100</f>
        <v>6.7093681697684673</v>
      </c>
      <c r="L136" s="31">
        <f t="shared" ref="L136:L137" si="134">F136/C136%-100</f>
        <v>15.888976949365443</v>
      </c>
      <c r="M136" s="32">
        <f t="shared" ref="M136:M137" si="135">G136/D136%-100</f>
        <v>6.7333699575795265</v>
      </c>
    </row>
    <row r="137" spans="1:13" x14ac:dyDescent="0.25">
      <c r="A137" s="326" t="s">
        <v>278</v>
      </c>
      <c r="B137" s="27">
        <v>3965.14798638</v>
      </c>
      <c r="C137" s="27">
        <v>1335.11548541</v>
      </c>
      <c r="D137" s="27">
        <v>2834.12394524</v>
      </c>
      <c r="E137" s="27">
        <v>4237.7608770999996</v>
      </c>
      <c r="F137" s="27">
        <v>1551.1737119300001</v>
      </c>
      <c r="G137" s="27">
        <f>3197.80516767-G138</f>
        <v>3032.1187603600001</v>
      </c>
      <c r="H137" s="27">
        <f t="shared" si="130"/>
        <v>272.61289071999954</v>
      </c>
      <c r="I137" s="27">
        <f t="shared" si="131"/>
        <v>216.05822652000006</v>
      </c>
      <c r="J137" s="27">
        <f t="shared" si="132"/>
        <v>197.99481512000011</v>
      </c>
      <c r="K137" s="27">
        <f t="shared" si="133"/>
        <v>6.875226136739542</v>
      </c>
      <c r="L137" s="27">
        <f t="shared" si="134"/>
        <v>16.182736915350119</v>
      </c>
      <c r="M137" s="29">
        <f t="shared" si="135"/>
        <v>6.9861028997175225</v>
      </c>
    </row>
    <row r="138" spans="1:13" s="217" customFormat="1" hidden="1" x14ac:dyDescent="0.25">
      <c r="A138" s="327" t="s">
        <v>308</v>
      </c>
      <c r="B138" s="215"/>
      <c r="C138" s="215"/>
      <c r="D138" s="215"/>
      <c r="E138" s="215">
        <v>0</v>
      </c>
      <c r="F138" s="215">
        <v>345.53159519000002</v>
      </c>
      <c r="G138" s="215">
        <v>165.68640730999999</v>
      </c>
      <c r="H138" s="215"/>
      <c r="I138" s="215"/>
      <c r="J138" s="215"/>
      <c r="K138" s="215"/>
      <c r="L138" s="215"/>
      <c r="M138" s="216"/>
    </row>
    <row r="139" spans="1:13" ht="26.4" x14ac:dyDescent="0.25">
      <c r="A139" s="326" t="s">
        <v>279</v>
      </c>
      <c r="B139" s="27">
        <v>133.04490977</v>
      </c>
      <c r="C139" s="27">
        <v>48.891926399999996</v>
      </c>
      <c r="D139" s="27">
        <v>84.152983370000001</v>
      </c>
      <c r="E139" s="27">
        <v>135.39486875999998</v>
      </c>
      <c r="F139" s="27">
        <v>52.73831852</v>
      </c>
      <c r="G139" s="27">
        <v>82.656550240000001</v>
      </c>
      <c r="H139" s="27">
        <f>E139-B139</f>
        <v>2.3499589899999762</v>
      </c>
      <c r="I139" s="27">
        <f>F139-C139</f>
        <v>3.8463921200000044</v>
      </c>
      <c r="J139" s="27">
        <f>G139-D139</f>
        <v>-1.4964331299999998</v>
      </c>
      <c r="K139" s="27">
        <f>E139/B139%-100</f>
        <v>1.7662900400041082</v>
      </c>
      <c r="L139" s="27">
        <f>F139/C139%-100</f>
        <v>7.8671314534254151</v>
      </c>
      <c r="M139" s="29">
        <f>G139/D139%-100</f>
        <v>-1.7782294460322987</v>
      </c>
    </row>
    <row r="140" spans="1:13" s="217" customFormat="1" hidden="1" x14ac:dyDescent="0.25">
      <c r="A140" s="327" t="s">
        <v>308</v>
      </c>
      <c r="B140" s="215"/>
      <c r="C140" s="215"/>
      <c r="D140" s="215"/>
      <c r="E140" s="215"/>
      <c r="F140" s="215"/>
      <c r="G140" s="215"/>
      <c r="H140" s="215"/>
      <c r="I140" s="215"/>
      <c r="J140" s="215"/>
      <c r="K140" s="215"/>
      <c r="L140" s="215"/>
      <c r="M140" s="216"/>
    </row>
    <row r="141" spans="1:13" s="450" customFormat="1" ht="26.4" x14ac:dyDescent="0.25">
      <c r="A141" s="84" t="s">
        <v>280</v>
      </c>
      <c r="B141" s="31">
        <v>9242.4762832000015</v>
      </c>
      <c r="C141" s="31">
        <v>9241.78190645</v>
      </c>
      <c r="D141" s="31">
        <v>0.69437674999999999</v>
      </c>
      <c r="E141" s="31">
        <v>16777.114298259999</v>
      </c>
      <c r="F141" s="31">
        <v>16775.461600030001</v>
      </c>
      <c r="G141" s="31">
        <v>1.6526982299999999</v>
      </c>
      <c r="H141" s="31">
        <f t="shared" ref="H141:H151" si="136">E141-B141</f>
        <v>7534.638015059998</v>
      </c>
      <c r="I141" s="31">
        <f t="shared" ref="I141:I151" si="137">F141-C141</f>
        <v>7533.6796935800012</v>
      </c>
      <c r="J141" s="31">
        <f t="shared" ref="J141:J151" si="138">G141-D141</f>
        <v>0.95832147999999995</v>
      </c>
      <c r="K141" s="31">
        <f t="shared" ref="K141:K151" si="139">E141/B141%-100</f>
        <v>81.521853929510939</v>
      </c>
      <c r="L141" s="31">
        <f t="shared" ref="L141:L151" si="140">F141/C141%-100</f>
        <v>81.517609589143376</v>
      </c>
      <c r="M141" s="91" t="s">
        <v>586</v>
      </c>
    </row>
    <row r="142" spans="1:13" x14ac:dyDescent="0.25">
      <c r="A142" s="326" t="s">
        <v>281</v>
      </c>
      <c r="B142" s="27">
        <v>3895.3876188899999</v>
      </c>
      <c r="C142" s="27">
        <v>3895.34361889</v>
      </c>
      <c r="D142" s="27">
        <v>4.3999999999999997E-2</v>
      </c>
      <c r="E142" s="27">
        <v>5060.0812640000004</v>
      </c>
      <c r="F142" s="27">
        <v>5060.0512639999997</v>
      </c>
      <c r="G142" s="27">
        <v>0.03</v>
      </c>
      <c r="H142" s="27">
        <f t="shared" si="136"/>
        <v>1164.6936451100005</v>
      </c>
      <c r="I142" s="27">
        <f t="shared" si="137"/>
        <v>1164.7076451099997</v>
      </c>
      <c r="J142" s="27">
        <f t="shared" si="138"/>
        <v>-1.3999999999999999E-2</v>
      </c>
      <c r="K142" s="27">
        <f t="shared" si="139"/>
        <v>29.899300379300456</v>
      </c>
      <c r="L142" s="27">
        <f t="shared" si="140"/>
        <v>29.899997511436226</v>
      </c>
      <c r="M142" s="29">
        <f>G142/D142%-100</f>
        <v>-31.818181818181813</v>
      </c>
    </row>
    <row r="143" spans="1:13" x14ac:dyDescent="0.25">
      <c r="A143" s="326" t="s">
        <v>282</v>
      </c>
      <c r="B143" s="27">
        <v>3107.0221217600001</v>
      </c>
      <c r="C143" s="27">
        <v>3107.0221217600001</v>
      </c>
      <c r="D143" s="27">
        <v>0</v>
      </c>
      <c r="E143" s="27">
        <v>3510.8051945900002</v>
      </c>
      <c r="F143" s="27">
        <v>3510.8051945900002</v>
      </c>
      <c r="G143" s="27">
        <v>0</v>
      </c>
      <c r="H143" s="27">
        <f t="shared" si="136"/>
        <v>403.78307283000004</v>
      </c>
      <c r="I143" s="27">
        <f t="shared" si="137"/>
        <v>403.78307283000004</v>
      </c>
      <c r="J143" s="27">
        <f t="shared" si="138"/>
        <v>0</v>
      </c>
      <c r="K143" s="27">
        <f t="shared" si="139"/>
        <v>12.995822269886943</v>
      </c>
      <c r="L143" s="27">
        <f t="shared" si="140"/>
        <v>12.995822269886943</v>
      </c>
      <c r="M143" s="29"/>
    </row>
    <row r="144" spans="1:13" ht="26.4" x14ac:dyDescent="0.25">
      <c r="A144" s="326" t="s">
        <v>310</v>
      </c>
      <c r="B144" s="27">
        <v>32.557499999999997</v>
      </c>
      <c r="C144" s="27">
        <v>32.557499999999997</v>
      </c>
      <c r="D144" s="27">
        <v>0</v>
      </c>
      <c r="E144" s="27">
        <v>72.135885139999999</v>
      </c>
      <c r="F144" s="27">
        <v>72.135885139999999</v>
      </c>
      <c r="G144" s="27">
        <v>0</v>
      </c>
      <c r="H144" s="27">
        <f t="shared" si="136"/>
        <v>39.578385140000002</v>
      </c>
      <c r="I144" s="27">
        <f t="shared" si="137"/>
        <v>39.578385140000002</v>
      </c>
      <c r="J144" s="27">
        <f t="shared" si="138"/>
        <v>0</v>
      </c>
      <c r="K144" s="43" t="s">
        <v>656</v>
      </c>
      <c r="L144" s="43" t="s">
        <v>656</v>
      </c>
      <c r="M144" s="29"/>
    </row>
    <row r="145" spans="1:13" x14ac:dyDescent="0.25">
      <c r="A145" s="326" t="s">
        <v>283</v>
      </c>
      <c r="B145" s="27">
        <v>621.26703362000001</v>
      </c>
      <c r="C145" s="27">
        <v>621.26703362000001</v>
      </c>
      <c r="D145" s="27">
        <v>0</v>
      </c>
      <c r="E145" s="27">
        <v>697.88441811000007</v>
      </c>
      <c r="F145" s="27">
        <v>697.88441811000007</v>
      </c>
      <c r="G145" s="27">
        <v>0</v>
      </c>
      <c r="H145" s="27">
        <f t="shared" si="136"/>
        <v>76.617384490000063</v>
      </c>
      <c r="I145" s="27">
        <f t="shared" si="137"/>
        <v>76.617384490000063</v>
      </c>
      <c r="J145" s="27">
        <f t="shared" si="138"/>
        <v>0</v>
      </c>
      <c r="K145" s="27">
        <f t="shared" si="139"/>
        <v>12.332440052961715</v>
      </c>
      <c r="L145" s="27">
        <f t="shared" si="140"/>
        <v>12.332440052961715</v>
      </c>
      <c r="M145" s="29"/>
    </row>
    <row r="146" spans="1:13" x14ac:dyDescent="0.25">
      <c r="A146" s="326" t="s">
        <v>284</v>
      </c>
      <c r="B146" s="27">
        <v>199.82610481</v>
      </c>
      <c r="C146" s="27">
        <v>199.82610481</v>
      </c>
      <c r="D146" s="27">
        <v>0</v>
      </c>
      <c r="E146" s="27">
        <v>199.33371127000001</v>
      </c>
      <c r="F146" s="27">
        <v>199.33371127000001</v>
      </c>
      <c r="G146" s="27">
        <v>0</v>
      </c>
      <c r="H146" s="27">
        <f t="shared" si="136"/>
        <v>-0.4923935399999948</v>
      </c>
      <c r="I146" s="27">
        <f t="shared" si="137"/>
        <v>-0.4923935399999948</v>
      </c>
      <c r="J146" s="27">
        <f t="shared" si="138"/>
        <v>0</v>
      </c>
      <c r="K146" s="27">
        <f t="shared" si="139"/>
        <v>-0.24641101845435287</v>
      </c>
      <c r="L146" s="27">
        <f t="shared" si="140"/>
        <v>-0.24641101845435287</v>
      </c>
      <c r="M146" s="29"/>
    </row>
    <row r="147" spans="1:13" ht="27" customHeight="1" x14ac:dyDescent="0.25">
      <c r="A147" s="326" t="s">
        <v>285</v>
      </c>
      <c r="B147" s="27">
        <v>161.49610000000001</v>
      </c>
      <c r="C147" s="27">
        <v>161.49610000000001</v>
      </c>
      <c r="D147" s="27">
        <v>0</v>
      </c>
      <c r="E147" s="27">
        <v>160.79480000000001</v>
      </c>
      <c r="F147" s="27">
        <v>160.79480000000001</v>
      </c>
      <c r="G147" s="27">
        <v>0</v>
      </c>
      <c r="H147" s="27">
        <f t="shared" si="136"/>
        <v>-0.70130000000000337</v>
      </c>
      <c r="I147" s="27">
        <f t="shared" si="137"/>
        <v>-0.70130000000000337</v>
      </c>
      <c r="J147" s="27">
        <f t="shared" si="138"/>
        <v>0</v>
      </c>
      <c r="K147" s="27">
        <f t="shared" si="139"/>
        <v>-0.43425197264825499</v>
      </c>
      <c r="L147" s="27">
        <f t="shared" si="140"/>
        <v>-0.43425197264825499</v>
      </c>
      <c r="M147" s="29"/>
    </row>
    <row r="148" spans="1:13" hidden="1" x14ac:dyDescent="0.25">
      <c r="A148" s="326" t="s">
        <v>286</v>
      </c>
      <c r="B148" s="27"/>
      <c r="C148" s="27"/>
      <c r="D148" s="27"/>
      <c r="E148" s="27"/>
      <c r="F148" s="27"/>
      <c r="G148" s="27"/>
      <c r="H148" s="27">
        <f t="shared" si="136"/>
        <v>0</v>
      </c>
      <c r="I148" s="27">
        <f t="shared" si="137"/>
        <v>0</v>
      </c>
      <c r="J148" s="27">
        <f t="shared" si="138"/>
        <v>0</v>
      </c>
      <c r="K148" s="27" t="e">
        <f t="shared" si="139"/>
        <v>#DIV/0!</v>
      </c>
      <c r="L148" s="27" t="e">
        <f t="shared" si="140"/>
        <v>#DIV/0!</v>
      </c>
      <c r="M148" s="29" t="e">
        <f t="shared" ref="M148:M151" si="141">G148/D148%-100</f>
        <v>#DIV/0!</v>
      </c>
    </row>
    <row r="149" spans="1:13" ht="26.4" x14ac:dyDescent="0.25">
      <c r="A149" s="326" t="s">
        <v>287</v>
      </c>
      <c r="B149" s="27">
        <v>1224.91980412</v>
      </c>
      <c r="C149" s="27">
        <v>1224.2694273699999</v>
      </c>
      <c r="D149" s="27">
        <v>0.65037674999999995</v>
      </c>
      <c r="E149" s="27">
        <v>7076.0790251499993</v>
      </c>
      <c r="F149" s="27">
        <v>7074.4563269199998</v>
      </c>
      <c r="G149" s="27">
        <v>1.6226982299999999</v>
      </c>
      <c r="H149" s="27">
        <f t="shared" si="136"/>
        <v>5851.1592210299996</v>
      </c>
      <c r="I149" s="27">
        <f t="shared" si="137"/>
        <v>5850.1868995499999</v>
      </c>
      <c r="J149" s="27">
        <f t="shared" si="138"/>
        <v>0.97232147999999996</v>
      </c>
      <c r="K149" s="43" t="s">
        <v>658</v>
      </c>
      <c r="L149" s="43" t="s">
        <v>658</v>
      </c>
      <c r="M149" s="40" t="s">
        <v>588</v>
      </c>
    </row>
    <row r="150" spans="1:13" s="450" customFormat="1" x14ac:dyDescent="0.25">
      <c r="A150" s="84" t="s">
        <v>288</v>
      </c>
      <c r="B150" s="31">
        <v>23263.036034090001</v>
      </c>
      <c r="C150" s="31">
        <v>22678.025536869998</v>
      </c>
      <c r="D150" s="31">
        <v>1691.5243888999996</v>
      </c>
      <c r="E150" s="31">
        <v>27432.668896919997</v>
      </c>
      <c r="F150" s="31">
        <v>26988.54356966</v>
      </c>
      <c r="G150" s="31">
        <v>1620.9059999200001</v>
      </c>
      <c r="H150" s="31">
        <f t="shared" si="136"/>
        <v>4169.6328628299962</v>
      </c>
      <c r="I150" s="31">
        <f t="shared" si="137"/>
        <v>4310.5180327900016</v>
      </c>
      <c r="J150" s="31">
        <f t="shared" si="138"/>
        <v>-70.618388979999509</v>
      </c>
      <c r="K150" s="31">
        <f t="shared" si="139"/>
        <v>17.923855066551738</v>
      </c>
      <c r="L150" s="31">
        <f t="shared" si="140"/>
        <v>19.007466173728176</v>
      </c>
      <c r="M150" s="32">
        <f t="shared" si="141"/>
        <v>-4.1748371731088412</v>
      </c>
    </row>
    <row r="151" spans="1:13" x14ac:dyDescent="0.25">
      <c r="A151" s="326" t="s">
        <v>289</v>
      </c>
      <c r="B151" s="27">
        <v>208.0315774</v>
      </c>
      <c r="C151" s="27">
        <v>75.380781400000004</v>
      </c>
      <c r="D151" s="27">
        <v>132.65079599999999</v>
      </c>
      <c r="E151" s="27">
        <v>209.49408513999998</v>
      </c>
      <c r="F151" s="27">
        <v>73.078807470000001</v>
      </c>
      <c r="G151" s="27">
        <v>136.41527767000002</v>
      </c>
      <c r="H151" s="27">
        <f t="shared" si="136"/>
        <v>1.4625077399999782</v>
      </c>
      <c r="I151" s="27">
        <f t="shared" si="137"/>
        <v>-2.3019739300000026</v>
      </c>
      <c r="J151" s="27">
        <f t="shared" si="138"/>
        <v>3.7644816700000376</v>
      </c>
      <c r="K151" s="27">
        <f t="shared" si="139"/>
        <v>0.70302199227565154</v>
      </c>
      <c r="L151" s="27">
        <f t="shared" si="140"/>
        <v>-3.0537941995915787</v>
      </c>
      <c r="M151" s="29">
        <f t="shared" si="141"/>
        <v>2.8378884888109042</v>
      </c>
    </row>
    <row r="152" spans="1:13" s="217" customFormat="1" hidden="1" x14ac:dyDescent="0.25">
      <c r="A152" s="327" t="s">
        <v>308</v>
      </c>
      <c r="B152" s="215"/>
      <c r="C152" s="215"/>
      <c r="D152" s="215"/>
      <c r="E152" s="215"/>
      <c r="F152" s="215"/>
      <c r="G152" s="215"/>
      <c r="H152" s="215"/>
      <c r="I152" s="215"/>
      <c r="J152" s="215"/>
      <c r="K152" s="215"/>
      <c r="L152" s="215"/>
      <c r="M152" s="216"/>
    </row>
    <row r="153" spans="1:13" x14ac:dyDescent="0.25">
      <c r="A153" s="324" t="s">
        <v>290</v>
      </c>
      <c r="B153" s="27">
        <v>3104.5787674200001</v>
      </c>
      <c r="C153" s="27">
        <v>3104.4997674199999</v>
      </c>
      <c r="D153" s="27">
        <v>7.9000000000000001E-2</v>
      </c>
      <c r="E153" s="27">
        <v>3403.2925230400001</v>
      </c>
      <c r="F153" s="27">
        <v>3403.2635230400001</v>
      </c>
      <c r="G153" s="27">
        <v>2.9000000000000001E-2</v>
      </c>
      <c r="H153" s="27">
        <f t="shared" ref="H153:H154" si="142">E153-B153</f>
        <v>298.71375562000003</v>
      </c>
      <c r="I153" s="27">
        <f t="shared" ref="I153:I154" si="143">F153-C153</f>
        <v>298.76375562000021</v>
      </c>
      <c r="J153" s="27">
        <f t="shared" ref="J153:J154" si="144">G153-D153</f>
        <v>-0.05</v>
      </c>
      <c r="K153" s="27">
        <f t="shared" ref="K153:K154" si="145">E153/B153%-100</f>
        <v>9.6217161166840128</v>
      </c>
      <c r="L153" s="27">
        <f t="shared" ref="L153:L154" si="146">F153/C153%-100</f>
        <v>9.6235715252859677</v>
      </c>
      <c r="M153" s="29">
        <f t="shared" ref="M153:M154" si="147">G153/D153%-100</f>
        <v>-63.291139240506325</v>
      </c>
    </row>
    <row r="154" spans="1:13" x14ac:dyDescent="0.25">
      <c r="A154" s="324" t="s">
        <v>336</v>
      </c>
      <c r="B154" s="27">
        <v>16408.574616059999</v>
      </c>
      <c r="C154" s="27">
        <v>16175.42557073</v>
      </c>
      <c r="D154" s="27">
        <v>490.04313688000008</v>
      </c>
      <c r="E154" s="27">
        <v>17247.314818769999</v>
      </c>
      <c r="F154" s="27">
        <v>17111.562067899999</v>
      </c>
      <c r="G154" s="27">
        <v>180.75249521999999</v>
      </c>
      <c r="H154" s="27">
        <f t="shared" si="142"/>
        <v>838.74020270999972</v>
      </c>
      <c r="I154" s="27">
        <f t="shared" si="143"/>
        <v>936.13649716999862</v>
      </c>
      <c r="J154" s="27">
        <f t="shared" si="144"/>
        <v>-309.29064166000012</v>
      </c>
      <c r="K154" s="27">
        <f t="shared" si="145"/>
        <v>5.111596968874295</v>
      </c>
      <c r="L154" s="27">
        <f t="shared" si="146"/>
        <v>5.787399491139027</v>
      </c>
      <c r="M154" s="29">
        <f t="shared" si="147"/>
        <v>-63.114982821550669</v>
      </c>
    </row>
    <row r="155" spans="1:13" s="217" customFormat="1" hidden="1" x14ac:dyDescent="0.25">
      <c r="A155" s="327" t="s">
        <v>308</v>
      </c>
      <c r="B155" s="215"/>
      <c r="C155" s="215"/>
      <c r="D155" s="215"/>
      <c r="E155" s="215"/>
      <c r="F155" s="215"/>
      <c r="G155" s="215"/>
      <c r="H155" s="215"/>
      <c r="I155" s="215"/>
      <c r="J155" s="215"/>
      <c r="K155" s="215"/>
      <c r="L155" s="215"/>
      <c r="M155" s="216"/>
    </row>
    <row r="156" spans="1:13" x14ac:dyDescent="0.25">
      <c r="A156" s="326" t="s">
        <v>291</v>
      </c>
      <c r="B156" s="27">
        <v>3336.1160914000002</v>
      </c>
      <c r="C156" s="27">
        <v>3309.4096154699996</v>
      </c>
      <c r="D156" s="27">
        <v>871.20325410999999</v>
      </c>
      <c r="E156" s="27">
        <v>6363.24060981</v>
      </c>
      <c r="F156" s="27">
        <v>6388.8138665100005</v>
      </c>
      <c r="G156" s="27">
        <v>1100.19584667</v>
      </c>
      <c r="H156" s="27">
        <f>E156-B156</f>
        <v>3027.1245184099998</v>
      </c>
      <c r="I156" s="27">
        <f>F156-C156</f>
        <v>3079.4042510400009</v>
      </c>
      <c r="J156" s="27">
        <f>G156-D156</f>
        <v>228.99259256000005</v>
      </c>
      <c r="K156" s="27">
        <f>E156/B156%-100</f>
        <v>90.737984994391127</v>
      </c>
      <c r="L156" s="27">
        <f>F156/C156%-100</f>
        <v>93.049957812570938</v>
      </c>
      <c r="M156" s="29">
        <f>G156/D156%-100</f>
        <v>26.284634668167456</v>
      </c>
    </row>
    <row r="157" spans="1:13" s="217" customFormat="1" hidden="1" x14ac:dyDescent="0.25">
      <c r="A157" s="327" t="s">
        <v>308</v>
      </c>
      <c r="B157" s="215"/>
      <c r="C157" s="215"/>
      <c r="D157" s="215"/>
      <c r="E157" s="215"/>
      <c r="F157" s="215"/>
      <c r="G157" s="215"/>
      <c r="H157" s="215"/>
      <c r="I157" s="215"/>
      <c r="J157" s="215"/>
      <c r="K157" s="215"/>
      <c r="L157" s="215"/>
      <c r="M157" s="216"/>
    </row>
    <row r="158" spans="1:13" x14ac:dyDescent="0.25">
      <c r="A158" s="326" t="s">
        <v>292</v>
      </c>
      <c r="B158" s="27">
        <v>205.73498180999999</v>
      </c>
      <c r="C158" s="27">
        <v>13.309801849999999</v>
      </c>
      <c r="D158" s="27">
        <v>197.54820191000002</v>
      </c>
      <c r="E158" s="27">
        <v>209.32686016</v>
      </c>
      <c r="F158" s="27">
        <v>11.82530474</v>
      </c>
      <c r="G158" s="27">
        <f>203.59838036-G159</f>
        <v>203.51338035999999</v>
      </c>
      <c r="H158" s="27">
        <f>E158-B158</f>
        <v>3.5918783500000018</v>
      </c>
      <c r="I158" s="27">
        <f>F158-C158</f>
        <v>-1.4844971099999995</v>
      </c>
      <c r="J158" s="27">
        <f>G158-D158</f>
        <v>5.9651784499999678</v>
      </c>
      <c r="K158" s="27">
        <f>E158/B158%-100</f>
        <v>1.7458763300240037</v>
      </c>
      <c r="L158" s="27">
        <f>F158/C158%-100</f>
        <v>-11.15341255061584</v>
      </c>
      <c r="M158" s="29">
        <f>G158/D158%-100</f>
        <v>3.0196065528946718</v>
      </c>
    </row>
    <row r="159" spans="1:13" s="217" customFormat="1" hidden="1" x14ac:dyDescent="0.25">
      <c r="A159" s="327" t="s">
        <v>308</v>
      </c>
      <c r="B159" s="215"/>
      <c r="C159" s="215"/>
      <c r="D159" s="215"/>
      <c r="E159" s="215">
        <v>0</v>
      </c>
      <c r="F159" s="215">
        <v>6.0118249400000003</v>
      </c>
      <c r="G159" s="215">
        <v>8.5000000000000006E-2</v>
      </c>
      <c r="H159" s="215"/>
      <c r="I159" s="215"/>
      <c r="J159" s="215"/>
      <c r="K159" s="215"/>
      <c r="L159" s="215"/>
      <c r="M159" s="216"/>
    </row>
    <row r="160" spans="1:13" s="450" customFormat="1" x14ac:dyDescent="0.25">
      <c r="A160" s="84" t="s">
        <v>293</v>
      </c>
      <c r="B160" s="31">
        <v>1003.66444089</v>
      </c>
      <c r="C160" s="31">
        <v>809.77512308000007</v>
      </c>
      <c r="D160" s="31">
        <v>420.31840079999995</v>
      </c>
      <c r="E160" s="31">
        <v>1656.28579382</v>
      </c>
      <c r="F160" s="31">
        <v>1154.4218268099999</v>
      </c>
      <c r="G160" s="31">
        <v>838.47159041999998</v>
      </c>
      <c r="H160" s="31">
        <f t="shared" ref="H160:H161" si="148">E160-B160</f>
        <v>652.62135292999994</v>
      </c>
      <c r="I160" s="31">
        <f t="shared" ref="I160:I161" si="149">F160-C160</f>
        <v>344.64670372999979</v>
      </c>
      <c r="J160" s="31">
        <f t="shared" ref="J160:J161" si="150">G160-D160</f>
        <v>418.15318962000003</v>
      </c>
      <c r="K160" s="31">
        <f t="shared" ref="K160" si="151">E160/B160%-100</f>
        <v>65.023859204505385</v>
      </c>
      <c r="L160" s="31">
        <f t="shared" ref="L160:L161" si="152">F160/C160%-100</f>
        <v>42.560791744148361</v>
      </c>
      <c r="M160" s="32">
        <f t="shared" ref="M160" si="153">G160/D160%-100</f>
        <v>99.484864051662072</v>
      </c>
    </row>
    <row r="161" spans="1:13" ht="26.4" x14ac:dyDescent="0.25">
      <c r="A161" s="326" t="s">
        <v>294</v>
      </c>
      <c r="B161" s="27">
        <v>101.53227586</v>
      </c>
      <c r="C161" s="27">
        <v>2.5666666</v>
      </c>
      <c r="D161" s="27">
        <v>101.53227586</v>
      </c>
      <c r="E161" s="27">
        <v>326.21413127999995</v>
      </c>
      <c r="F161" s="27">
        <v>0.19699955999999999</v>
      </c>
      <c r="G161" s="27">
        <f>328.48990228-G162</f>
        <v>326.21413128</v>
      </c>
      <c r="H161" s="27">
        <f t="shared" si="148"/>
        <v>224.68185541999995</v>
      </c>
      <c r="I161" s="27">
        <f t="shared" si="149"/>
        <v>-2.3696670399999999</v>
      </c>
      <c r="J161" s="27">
        <f t="shared" si="150"/>
        <v>224.68185542000001</v>
      </c>
      <c r="K161" s="43" t="s">
        <v>599</v>
      </c>
      <c r="L161" s="27">
        <f t="shared" si="152"/>
        <v>-92.32469226817382</v>
      </c>
      <c r="M161" s="40" t="s">
        <v>599</v>
      </c>
    </row>
    <row r="162" spans="1:13" s="217" customFormat="1" hidden="1" x14ac:dyDescent="0.25">
      <c r="A162" s="327" t="s">
        <v>308</v>
      </c>
      <c r="B162" s="215"/>
      <c r="C162" s="215"/>
      <c r="D162" s="215"/>
      <c r="E162" s="215">
        <v>0</v>
      </c>
      <c r="F162" s="215">
        <v>0.19699955999999999</v>
      </c>
      <c r="G162" s="215">
        <v>2.2757710000000002</v>
      </c>
      <c r="H162" s="215"/>
      <c r="I162" s="215"/>
      <c r="J162" s="215"/>
      <c r="K162" s="215"/>
      <c r="L162" s="215"/>
      <c r="M162" s="216"/>
    </row>
    <row r="163" spans="1:13" x14ac:dyDescent="0.25">
      <c r="A163" s="326" t="s">
        <v>295</v>
      </c>
      <c r="B163" s="27">
        <v>330.59491267000004</v>
      </c>
      <c r="C163" s="27">
        <v>289.83893358999995</v>
      </c>
      <c r="D163" s="27">
        <v>264.61839547</v>
      </c>
      <c r="E163" s="27">
        <v>516.47423675000005</v>
      </c>
      <c r="F163" s="27">
        <v>497.73695017</v>
      </c>
      <c r="G163" s="27">
        <f>331.20265749-G164</f>
        <v>324.97899293</v>
      </c>
      <c r="H163" s="27">
        <f>E163-B163</f>
        <v>185.87932408</v>
      </c>
      <c r="I163" s="27">
        <f>F163-C163</f>
        <v>207.89801658000005</v>
      </c>
      <c r="J163" s="27">
        <f>G163-D163</f>
        <v>60.360597460000008</v>
      </c>
      <c r="K163" s="27">
        <f t="shared" ref="K163" si="154">E163/B163%-100</f>
        <v>56.225706130434276</v>
      </c>
      <c r="L163" s="27">
        <f t="shared" ref="L163" si="155">F163/C163%-100</f>
        <v>71.72880951669805</v>
      </c>
      <c r="M163" s="29">
        <f t="shared" ref="M163" si="156">G163/D163%-100</f>
        <v>22.810431358254959</v>
      </c>
    </row>
    <row r="164" spans="1:13" s="217" customFormat="1" hidden="1" x14ac:dyDescent="0.25">
      <c r="A164" s="327" t="s">
        <v>308</v>
      </c>
      <c r="B164" s="215"/>
      <c r="C164" s="215"/>
      <c r="D164" s="215"/>
      <c r="E164" s="215">
        <v>0</v>
      </c>
      <c r="F164" s="215">
        <v>306.24170635000002</v>
      </c>
      <c r="G164" s="215">
        <v>6.2236645600000005</v>
      </c>
      <c r="H164" s="215"/>
      <c r="I164" s="215"/>
      <c r="J164" s="215"/>
      <c r="K164" s="215"/>
      <c r="L164" s="215"/>
      <c r="M164" s="216"/>
    </row>
    <row r="165" spans="1:13" x14ac:dyDescent="0.25">
      <c r="A165" s="326" t="s">
        <v>296</v>
      </c>
      <c r="B165" s="27">
        <v>500.84562288999996</v>
      </c>
      <c r="C165" s="27">
        <v>500.84562288999996</v>
      </c>
      <c r="D165" s="27">
        <v>0</v>
      </c>
      <c r="E165" s="27">
        <v>624.04993450999996</v>
      </c>
      <c r="F165" s="27">
        <v>637.67152594000004</v>
      </c>
      <c r="G165" s="27">
        <v>16.54732607</v>
      </c>
      <c r="H165" s="27">
        <f>E165-B165</f>
        <v>123.20431162</v>
      </c>
      <c r="I165" s="27">
        <f>F165-C165</f>
        <v>136.82590305000008</v>
      </c>
      <c r="J165" s="27">
        <f>G165-D165</f>
        <v>16.54732607</v>
      </c>
      <c r="K165" s="27">
        <f>E165/B165%-100</f>
        <v>24.599258931141591</v>
      </c>
      <c r="L165" s="27">
        <f>F165/C165%-100</f>
        <v>27.318977504581483</v>
      </c>
      <c r="M165" s="29"/>
    </row>
    <row r="166" spans="1:13" s="217" customFormat="1" hidden="1" x14ac:dyDescent="0.25">
      <c r="A166" s="327" t="s">
        <v>308</v>
      </c>
      <c r="B166" s="215"/>
      <c r="C166" s="215"/>
      <c r="D166" s="215"/>
      <c r="E166" s="215">
        <v>0</v>
      </c>
      <c r="F166" s="215">
        <v>30.168917499999999</v>
      </c>
      <c r="G166" s="215">
        <v>0</v>
      </c>
      <c r="H166" s="215"/>
      <c r="I166" s="215"/>
      <c r="J166" s="215"/>
      <c r="K166" s="215"/>
      <c r="L166" s="215"/>
      <c r="M166" s="216"/>
    </row>
    <row r="167" spans="1:13" ht="26.4" x14ac:dyDescent="0.25">
      <c r="A167" s="326" t="s">
        <v>297</v>
      </c>
      <c r="B167" s="27">
        <v>70.691629469999995</v>
      </c>
      <c r="C167" s="27">
        <v>16.523900000000001</v>
      </c>
      <c r="D167" s="27">
        <v>54.167729469999998</v>
      </c>
      <c r="E167" s="27">
        <v>189.54749128</v>
      </c>
      <c r="F167" s="27">
        <v>18.816351140000002</v>
      </c>
      <c r="G167" s="27">
        <v>170.73114013999998</v>
      </c>
      <c r="H167" s="27">
        <f>E167-B167</f>
        <v>118.85586181000001</v>
      </c>
      <c r="I167" s="27">
        <f>F167-C167</f>
        <v>2.2924511400000007</v>
      </c>
      <c r="J167" s="27">
        <f>G167-D167</f>
        <v>116.56341066999998</v>
      </c>
      <c r="K167" s="43" t="s">
        <v>587</v>
      </c>
      <c r="L167" s="27">
        <f t="shared" ref="L167" si="157">F167/C167%-100</f>
        <v>13.873547649162717</v>
      </c>
      <c r="M167" s="40" t="s">
        <v>599</v>
      </c>
    </row>
    <row r="168" spans="1:13" s="217" customFormat="1" hidden="1" x14ac:dyDescent="0.25">
      <c r="A168" s="327" t="s">
        <v>308</v>
      </c>
      <c r="B168" s="215"/>
      <c r="C168" s="215"/>
      <c r="D168" s="215"/>
      <c r="E168" s="215"/>
      <c r="F168" s="215"/>
      <c r="G168" s="215"/>
      <c r="H168" s="215"/>
      <c r="I168" s="215"/>
      <c r="J168" s="215"/>
      <c r="K168" s="215"/>
      <c r="L168" s="215"/>
      <c r="M168" s="216"/>
    </row>
    <row r="169" spans="1:13" s="450" customFormat="1" x14ac:dyDescent="0.25">
      <c r="A169" s="84" t="s">
        <v>298</v>
      </c>
      <c r="B169" s="31">
        <v>125.51870276999999</v>
      </c>
      <c r="C169" s="31">
        <v>96.733188999999996</v>
      </c>
      <c r="D169" s="31">
        <v>28.785513769999998</v>
      </c>
      <c r="E169" s="31">
        <v>186.50022071999999</v>
      </c>
      <c r="F169" s="31">
        <v>154.044299</v>
      </c>
      <c r="G169" s="31">
        <v>32.455921719999999</v>
      </c>
      <c r="H169" s="31">
        <f t="shared" ref="H169:H174" si="158">E169-B169</f>
        <v>60.981517949999997</v>
      </c>
      <c r="I169" s="31">
        <f t="shared" ref="I169:I178" si="159">F169-C169</f>
        <v>57.311109999999999</v>
      </c>
      <c r="J169" s="31">
        <f t="shared" ref="J169:J174" si="160">G169-D169</f>
        <v>3.6704079500000013</v>
      </c>
      <c r="K169" s="31">
        <f t="shared" ref="K169:K174" si="161">E169/B169%-100</f>
        <v>48.58361073229247</v>
      </c>
      <c r="L169" s="31">
        <f t="shared" ref="L169:L178" si="162">F169/C169%-100</f>
        <v>59.246583920643815</v>
      </c>
      <c r="M169" s="32">
        <f t="shared" ref="M169:M174" si="163">G169/D169%-100</f>
        <v>12.750885668836901</v>
      </c>
    </row>
    <row r="170" spans="1:13" x14ac:dyDescent="0.25">
      <c r="A170" s="326" t="s">
        <v>299</v>
      </c>
      <c r="B170" s="27">
        <v>7.6179750999999998</v>
      </c>
      <c r="C170" s="27">
        <v>0</v>
      </c>
      <c r="D170" s="27">
        <v>7.6179750999999998</v>
      </c>
      <c r="E170" s="27">
        <v>8.0397862</v>
      </c>
      <c r="F170" s="27">
        <v>0</v>
      </c>
      <c r="G170" s="27">
        <v>8.0397862</v>
      </c>
      <c r="H170" s="27">
        <f t="shared" si="158"/>
        <v>0.42181110000000022</v>
      </c>
      <c r="I170" s="27">
        <f t="shared" si="159"/>
        <v>0</v>
      </c>
      <c r="J170" s="27">
        <f t="shared" si="160"/>
        <v>0.42181110000000022</v>
      </c>
      <c r="K170" s="27">
        <f t="shared" si="161"/>
        <v>5.5370501276645001</v>
      </c>
      <c r="L170" s="27"/>
      <c r="M170" s="29">
        <f t="shared" si="163"/>
        <v>5.5370501276645001</v>
      </c>
    </row>
    <row r="171" spans="1:13" x14ac:dyDescent="0.25">
      <c r="A171" s="326" t="s">
        <v>300</v>
      </c>
      <c r="B171" s="27">
        <v>117.90072766999999</v>
      </c>
      <c r="C171" s="27">
        <v>96.733188999999996</v>
      </c>
      <c r="D171" s="27">
        <v>21.167538670000003</v>
      </c>
      <c r="E171" s="27">
        <v>169.29090506999998</v>
      </c>
      <c r="F171" s="27">
        <v>154.044299</v>
      </c>
      <c r="G171" s="27">
        <v>15.24660607</v>
      </c>
      <c r="H171" s="27">
        <f t="shared" si="158"/>
        <v>51.390177399999985</v>
      </c>
      <c r="I171" s="27">
        <f t="shared" si="159"/>
        <v>57.311109999999999</v>
      </c>
      <c r="J171" s="27">
        <f t="shared" si="160"/>
        <v>-5.9209326000000022</v>
      </c>
      <c r="K171" s="27">
        <f t="shared" si="161"/>
        <v>43.587667706207299</v>
      </c>
      <c r="L171" s="27">
        <f t="shared" si="162"/>
        <v>59.246583920643815</v>
      </c>
      <c r="M171" s="29">
        <f t="shared" si="163"/>
        <v>-27.97175756854304</v>
      </c>
    </row>
    <row r="172" spans="1:13" ht="26.4" x14ac:dyDescent="0.25">
      <c r="A172" s="326" t="s">
        <v>301</v>
      </c>
      <c r="B172" s="27"/>
      <c r="C172" s="27"/>
      <c r="D172" s="27"/>
      <c r="E172" s="27">
        <v>9.1695294499999989</v>
      </c>
      <c r="F172" s="27">
        <v>0</v>
      </c>
      <c r="G172" s="27">
        <v>9.1695294499999989</v>
      </c>
      <c r="H172" s="27">
        <f t="shared" si="158"/>
        <v>9.1695294499999989</v>
      </c>
      <c r="I172" s="27">
        <f t="shared" si="159"/>
        <v>0</v>
      </c>
      <c r="J172" s="27">
        <f t="shared" si="160"/>
        <v>9.1695294499999989</v>
      </c>
      <c r="K172" s="27"/>
      <c r="L172" s="27"/>
      <c r="M172" s="29"/>
    </row>
    <row r="173" spans="1:13" s="450" customFormat="1" ht="26.4" x14ac:dyDescent="0.25">
      <c r="A173" s="84" t="s">
        <v>302</v>
      </c>
      <c r="B173" s="31">
        <v>873.85136002000002</v>
      </c>
      <c r="C173" s="31">
        <v>696.37665292999998</v>
      </c>
      <c r="D173" s="31">
        <v>178.18617376</v>
      </c>
      <c r="E173" s="31">
        <v>1288.1299877700001</v>
      </c>
      <c r="F173" s="31">
        <v>1049.8861308999999</v>
      </c>
      <c r="G173" s="31">
        <v>238.95546562000001</v>
      </c>
      <c r="H173" s="31">
        <f t="shared" si="158"/>
        <v>414.27862775000006</v>
      </c>
      <c r="I173" s="31">
        <f t="shared" si="159"/>
        <v>353.50947796999992</v>
      </c>
      <c r="J173" s="31">
        <f t="shared" si="160"/>
        <v>60.76929186000001</v>
      </c>
      <c r="K173" s="31">
        <f t="shared" si="161"/>
        <v>47.408363333155222</v>
      </c>
      <c r="L173" s="31">
        <f t="shared" si="162"/>
        <v>50.764119745056234</v>
      </c>
      <c r="M173" s="32">
        <f t="shared" si="163"/>
        <v>34.10438115240666</v>
      </c>
    </row>
    <row r="174" spans="1:13" ht="26.4" x14ac:dyDescent="0.25">
      <c r="A174" s="326" t="s">
        <v>303</v>
      </c>
      <c r="B174" s="27">
        <v>873.85136002000002</v>
      </c>
      <c r="C174" s="27">
        <v>696.37665292999998</v>
      </c>
      <c r="D174" s="27">
        <v>178.18617376</v>
      </c>
      <c r="E174" s="27">
        <v>1288.1299877700001</v>
      </c>
      <c r="F174" s="27">
        <v>1049.8861308999999</v>
      </c>
      <c r="G174" s="27">
        <v>238.95546562000001</v>
      </c>
      <c r="H174" s="27">
        <f t="shared" si="158"/>
        <v>414.27862775000006</v>
      </c>
      <c r="I174" s="27">
        <f t="shared" si="159"/>
        <v>353.50947796999992</v>
      </c>
      <c r="J174" s="27">
        <f t="shared" si="160"/>
        <v>60.76929186000001</v>
      </c>
      <c r="K174" s="27">
        <f t="shared" si="161"/>
        <v>47.408363333155222</v>
      </c>
      <c r="L174" s="27">
        <f t="shared" si="162"/>
        <v>50.764119745056234</v>
      </c>
      <c r="M174" s="29">
        <f t="shared" si="163"/>
        <v>34.10438115240666</v>
      </c>
    </row>
    <row r="175" spans="1:13" s="450" customFormat="1" ht="39.6" x14ac:dyDescent="0.25">
      <c r="A175" s="84" t="s">
        <v>304</v>
      </c>
      <c r="B175" s="31"/>
      <c r="C175" s="31">
        <v>6715.1796865200004</v>
      </c>
      <c r="D175" s="31"/>
      <c r="E175" s="31"/>
      <c r="F175" s="31">
        <v>6225.9953273800002</v>
      </c>
      <c r="G175" s="31"/>
      <c r="H175" s="31"/>
      <c r="I175" s="31">
        <f t="shared" si="159"/>
        <v>-489.1843591400002</v>
      </c>
      <c r="J175" s="31"/>
      <c r="K175" s="31"/>
      <c r="L175" s="31">
        <f t="shared" si="162"/>
        <v>-7.2847545706332255</v>
      </c>
      <c r="M175" s="32"/>
    </row>
    <row r="176" spans="1:13" ht="39.6" x14ac:dyDescent="0.25">
      <c r="A176" s="326" t="s">
        <v>305</v>
      </c>
      <c r="B176" s="27"/>
      <c r="C176" s="27">
        <v>1323.6061999999999</v>
      </c>
      <c r="D176" s="27"/>
      <c r="E176" s="27"/>
      <c r="F176" s="27">
        <v>1393.9377999999999</v>
      </c>
      <c r="G176" s="27"/>
      <c r="H176" s="27"/>
      <c r="I176" s="27">
        <f t="shared" si="159"/>
        <v>70.33159999999998</v>
      </c>
      <c r="J176" s="27"/>
      <c r="K176" s="27"/>
      <c r="L176" s="27">
        <f t="shared" si="162"/>
        <v>5.3136348258265969</v>
      </c>
      <c r="M176" s="29"/>
    </row>
    <row r="177" spans="1:13" x14ac:dyDescent="0.25">
      <c r="A177" s="326" t="s">
        <v>306</v>
      </c>
      <c r="B177" s="27"/>
      <c r="C177" s="27">
        <v>1143.928549</v>
      </c>
      <c r="D177" s="27"/>
      <c r="E177" s="27"/>
      <c r="F177" s="27">
        <v>301.62228599999997</v>
      </c>
      <c r="G177" s="27"/>
      <c r="H177" s="27"/>
      <c r="I177" s="27">
        <f t="shared" si="159"/>
        <v>-842.30626299999994</v>
      </c>
      <c r="J177" s="27"/>
      <c r="K177" s="27"/>
      <c r="L177" s="27">
        <f t="shared" si="162"/>
        <v>-73.632768736852285</v>
      </c>
      <c r="M177" s="29"/>
    </row>
    <row r="178" spans="1:13" ht="26.4" x14ac:dyDescent="0.25">
      <c r="A178" s="326" t="s">
        <v>307</v>
      </c>
      <c r="B178" s="27"/>
      <c r="C178" s="27">
        <v>4247.64493752</v>
      </c>
      <c r="D178" s="27"/>
      <c r="E178" s="27"/>
      <c r="F178" s="27">
        <v>4530.4352413799998</v>
      </c>
      <c r="G178" s="27"/>
      <c r="H178" s="27"/>
      <c r="I178" s="27">
        <f t="shared" si="159"/>
        <v>282.79030385999977</v>
      </c>
      <c r="J178" s="27"/>
      <c r="K178" s="27"/>
      <c r="L178" s="27">
        <f t="shared" si="162"/>
        <v>6.6575786822970144</v>
      </c>
      <c r="M178" s="29"/>
    </row>
    <row r="179" spans="1:13" s="35" customFormat="1" x14ac:dyDescent="0.25">
      <c r="A179" s="211" t="s">
        <v>101</v>
      </c>
      <c r="B179" s="212">
        <f t="shared" ref="B179:D179" si="164">+B59+B76+B79+B86+B104+B113+B121+B136+B141+B150+B160+B169+B173+B175</f>
        <v>103997.13572593</v>
      </c>
      <c r="C179" s="212">
        <f t="shared" si="164"/>
        <v>89455.430180710013</v>
      </c>
      <c r="D179" s="212">
        <f t="shared" si="164"/>
        <v>42571.645732129997</v>
      </c>
      <c r="E179" s="212">
        <f t="shared" ref="E179:G179" si="165">+E59+E76+E79+E86+E104+E113+E121+E136+E141+E150+E160+E169+E173+E175</f>
        <v>128415.25689386998</v>
      </c>
      <c r="F179" s="212">
        <f t="shared" si="165"/>
        <v>112788.30979411001</v>
      </c>
      <c r="G179" s="212">
        <f t="shared" si="165"/>
        <v>49828.444453229997</v>
      </c>
      <c r="H179" s="212">
        <f t="shared" ref="H179:J188" si="166">E179-B179</f>
        <v>24418.121167939986</v>
      </c>
      <c r="I179" s="212">
        <f t="shared" ref="I179:J184" si="167">F179-C179</f>
        <v>23332.8796134</v>
      </c>
      <c r="J179" s="212">
        <f t="shared" si="167"/>
        <v>7256.7987211</v>
      </c>
      <c r="K179" s="212">
        <f>E179/B179%-100</f>
        <v>23.479609315674367</v>
      </c>
      <c r="L179" s="212">
        <f t="shared" ref="L179" si="168">F179/C179%-100</f>
        <v>26.083245663527592</v>
      </c>
      <c r="M179" s="213">
        <f>G179/D179%-100</f>
        <v>17.046084538900246</v>
      </c>
    </row>
    <row r="180" spans="1:13" s="35" customFormat="1" ht="26.4" x14ac:dyDescent="0.25">
      <c r="A180" s="94" t="s">
        <v>104</v>
      </c>
      <c r="B180" s="266">
        <f t="shared" ref="B180:G180" si="169">+B55-B179</f>
        <v>3891.4579523599969</v>
      </c>
      <c r="C180" s="266">
        <f t="shared" si="169"/>
        <v>2832.1355669999903</v>
      </c>
      <c r="D180" s="266">
        <f t="shared" si="169"/>
        <v>1059.3223853599993</v>
      </c>
      <c r="E180" s="266">
        <f t="shared" si="169"/>
        <v>-15113.864339379972</v>
      </c>
      <c r="F180" s="266">
        <f t="shared" si="169"/>
        <v>-14779.499953810009</v>
      </c>
      <c r="G180" s="266">
        <f t="shared" si="169"/>
        <v>-334.36438556999201</v>
      </c>
      <c r="H180" s="266">
        <f t="shared" si="166"/>
        <v>-19005.322291739969</v>
      </c>
      <c r="I180" s="266">
        <f t="shared" si="167"/>
        <v>-17611.635520809999</v>
      </c>
      <c r="J180" s="266">
        <f t="shared" si="167"/>
        <v>-1393.6867709299913</v>
      </c>
      <c r="K180" s="266"/>
      <c r="L180" s="266"/>
      <c r="M180" s="267"/>
    </row>
    <row r="181" spans="1:13" s="35" customFormat="1" ht="26.4" x14ac:dyDescent="0.25">
      <c r="A181" s="30" t="s">
        <v>107</v>
      </c>
      <c r="B181" s="31">
        <v>-3891.45795236</v>
      </c>
      <c r="C181" s="31">
        <v>-2832.1355669999998</v>
      </c>
      <c r="D181" s="31">
        <v>-1059.32238536</v>
      </c>
      <c r="E181" s="31">
        <v>15113.864339379999</v>
      </c>
      <c r="F181" s="31">
        <v>14779.49995381</v>
      </c>
      <c r="G181" s="31">
        <v>334.36438556999997</v>
      </c>
      <c r="H181" s="31">
        <f t="shared" si="166"/>
        <v>19005.322291739998</v>
      </c>
      <c r="I181" s="31">
        <f t="shared" si="167"/>
        <v>17611.635520809999</v>
      </c>
      <c r="J181" s="31">
        <f t="shared" si="167"/>
        <v>1393.68677093</v>
      </c>
      <c r="K181" s="27"/>
      <c r="L181" s="27"/>
      <c r="M181" s="29"/>
    </row>
    <row r="182" spans="1:13" x14ac:dyDescent="0.25">
      <c r="A182" s="36" t="s">
        <v>108</v>
      </c>
      <c r="B182" s="27">
        <v>-874.6893</v>
      </c>
      <c r="C182" s="27">
        <v>-700.05600000000004</v>
      </c>
      <c r="D182" s="27">
        <v>-174.63329999999999</v>
      </c>
      <c r="E182" s="27">
        <v>4046.0877</v>
      </c>
      <c r="F182" s="27">
        <v>3700.056</v>
      </c>
      <c r="G182" s="27">
        <v>346.0317</v>
      </c>
      <c r="H182" s="27">
        <f t="shared" si="166"/>
        <v>4920.777</v>
      </c>
      <c r="I182" s="27">
        <f t="shared" si="167"/>
        <v>4400.1120000000001</v>
      </c>
      <c r="J182" s="27">
        <f t="shared" si="167"/>
        <v>520.66499999999996</v>
      </c>
      <c r="K182" s="27"/>
      <c r="L182" s="27"/>
      <c r="M182" s="29"/>
    </row>
    <row r="183" spans="1:13" x14ac:dyDescent="0.25">
      <c r="A183" s="36" t="s">
        <v>109</v>
      </c>
      <c r="B183" s="27">
        <v>-577.47415000000001</v>
      </c>
      <c r="C183" s="27">
        <v>-577.47415000000001</v>
      </c>
      <c r="D183" s="27">
        <v>0</v>
      </c>
      <c r="E183" s="27">
        <v>5000</v>
      </c>
      <c r="F183" s="27">
        <v>5000</v>
      </c>
      <c r="G183" s="27">
        <v>0</v>
      </c>
      <c r="H183" s="27">
        <f t="shared" si="166"/>
        <v>5577.47415</v>
      </c>
      <c r="I183" s="27">
        <f t="shared" si="167"/>
        <v>5577.47415</v>
      </c>
      <c r="J183" s="27">
        <f t="shared" si="167"/>
        <v>0</v>
      </c>
      <c r="K183" s="27"/>
      <c r="L183" s="27"/>
      <c r="M183" s="29"/>
    </row>
    <row r="184" spans="1:13" ht="26.4" x14ac:dyDescent="0.25">
      <c r="A184" s="36" t="s">
        <v>413</v>
      </c>
      <c r="B184" s="27"/>
      <c r="C184" s="27"/>
      <c r="D184" s="27"/>
      <c r="E184" s="27">
        <v>0</v>
      </c>
      <c r="F184" s="27">
        <v>0</v>
      </c>
      <c r="G184" s="27">
        <v>0</v>
      </c>
      <c r="H184" s="27">
        <f t="shared" si="166"/>
        <v>0</v>
      </c>
      <c r="I184" s="27">
        <f t="shared" si="167"/>
        <v>0</v>
      </c>
      <c r="J184" s="27">
        <f t="shared" si="167"/>
        <v>0</v>
      </c>
      <c r="K184" s="27"/>
      <c r="L184" s="27"/>
      <c r="M184" s="29"/>
    </row>
    <row r="185" spans="1:13" ht="26.4" x14ac:dyDescent="0.25">
      <c r="A185" s="36" t="s">
        <v>110</v>
      </c>
      <c r="B185" s="27">
        <v>2.38</v>
      </c>
      <c r="C185" s="27">
        <v>0</v>
      </c>
      <c r="D185" s="27">
        <v>2.38</v>
      </c>
      <c r="E185" s="27">
        <v>913.34010000000001</v>
      </c>
      <c r="F185" s="27">
        <v>763.70399999999995</v>
      </c>
      <c r="G185" s="27">
        <v>149.6361</v>
      </c>
      <c r="H185" s="27">
        <f t="shared" si="166"/>
        <v>910.96010000000001</v>
      </c>
      <c r="I185" s="27">
        <f t="shared" si="166"/>
        <v>763.70399999999995</v>
      </c>
      <c r="J185" s="27">
        <f t="shared" si="166"/>
        <v>147.2561</v>
      </c>
      <c r="K185" s="27"/>
      <c r="L185" s="27"/>
      <c r="M185" s="29"/>
    </row>
    <row r="186" spans="1:13" x14ac:dyDescent="0.25">
      <c r="A186" s="36" t="s">
        <v>112</v>
      </c>
      <c r="B186" s="27">
        <v>2.5941387799999998</v>
      </c>
      <c r="C186" s="27">
        <v>2.5941387799999998</v>
      </c>
      <c r="D186" s="27">
        <v>0</v>
      </c>
      <c r="E186" s="27">
        <v>0</v>
      </c>
      <c r="F186" s="27">
        <v>0</v>
      </c>
      <c r="G186" s="27">
        <v>0</v>
      </c>
      <c r="H186" s="27">
        <f t="shared" si="166"/>
        <v>-2.5941387799999998</v>
      </c>
      <c r="I186" s="27">
        <f t="shared" si="166"/>
        <v>-2.5941387799999998</v>
      </c>
      <c r="J186" s="27">
        <f t="shared" si="166"/>
        <v>0</v>
      </c>
      <c r="K186" s="27"/>
      <c r="L186" s="27"/>
      <c r="M186" s="29"/>
    </row>
    <row r="187" spans="1:13" ht="26.4" x14ac:dyDescent="0.25">
      <c r="A187" s="36" t="s">
        <v>309</v>
      </c>
      <c r="B187" s="27">
        <v>1565.32398332</v>
      </c>
      <c r="C187" s="27">
        <v>1565.32398332</v>
      </c>
      <c r="D187" s="27">
        <v>0</v>
      </c>
      <c r="E187" s="27">
        <v>1145.4764578299998</v>
      </c>
      <c r="F187" s="27">
        <v>1123.9889515099999</v>
      </c>
      <c r="G187" s="27">
        <v>21.487506320000001</v>
      </c>
      <c r="H187" s="27">
        <f t="shared" si="166"/>
        <v>-419.84752549000018</v>
      </c>
      <c r="I187" s="27">
        <f t="shared" si="166"/>
        <v>-441.33503181000015</v>
      </c>
      <c r="J187" s="27">
        <f t="shared" si="166"/>
        <v>21.487506320000001</v>
      </c>
      <c r="K187" s="27"/>
      <c r="L187" s="27"/>
      <c r="M187" s="29"/>
    </row>
    <row r="188" spans="1:13" x14ac:dyDescent="0.25">
      <c r="A188" s="36" t="s">
        <v>114</v>
      </c>
      <c r="B188" s="27">
        <v>-4009.59262446</v>
      </c>
      <c r="C188" s="27">
        <v>-3122.5235391000001</v>
      </c>
      <c r="D188" s="27">
        <v>-887.06908536000003</v>
      </c>
      <c r="E188" s="27">
        <v>4008.9600815500003</v>
      </c>
      <c r="F188" s="27">
        <v>4191.7510023000004</v>
      </c>
      <c r="G188" s="27">
        <v>-182.79092074999997</v>
      </c>
      <c r="H188" s="27">
        <f t="shared" si="166"/>
        <v>8018.5527060100003</v>
      </c>
      <c r="I188" s="27">
        <f t="shared" si="166"/>
        <v>7314.2745414000001</v>
      </c>
      <c r="J188" s="27">
        <f t="shared" si="166"/>
        <v>704.27816461000009</v>
      </c>
      <c r="K188" s="27"/>
      <c r="L188" s="27"/>
      <c r="M188" s="29"/>
    </row>
    <row r="189" spans="1:13" ht="31.5" customHeight="1" x14ac:dyDescent="0.25">
      <c r="A189" s="94" t="s">
        <v>115</v>
      </c>
      <c r="B189" s="996" t="s">
        <v>622</v>
      </c>
      <c r="C189" s="996"/>
      <c r="D189" s="996"/>
      <c r="E189" s="996" t="s">
        <v>623</v>
      </c>
      <c r="F189" s="996"/>
      <c r="G189" s="996"/>
      <c r="H189" s="996" t="s">
        <v>568</v>
      </c>
      <c r="I189" s="996"/>
      <c r="J189" s="996"/>
      <c r="K189" s="996" t="s">
        <v>567</v>
      </c>
      <c r="L189" s="996"/>
      <c r="M189" s="997"/>
    </row>
    <row r="190" spans="1:13" s="450" customFormat="1" ht="26.4" x14ac:dyDescent="0.25">
      <c r="A190" s="30" t="s">
        <v>541</v>
      </c>
      <c r="B190" s="356">
        <v>8676.7682635800011</v>
      </c>
      <c r="C190" s="356">
        <v>6916.1067415300004</v>
      </c>
      <c r="D190" s="356">
        <v>1760.6615220500003</v>
      </c>
      <c r="E190" s="31">
        <v>4667.8081820299994</v>
      </c>
      <c r="F190" s="31">
        <v>2724.3557392299999</v>
      </c>
      <c r="G190" s="31">
        <v>1943.4524428</v>
      </c>
      <c r="H190" s="31">
        <f>E190-B190</f>
        <v>-4008.9600815500016</v>
      </c>
      <c r="I190" s="31">
        <f>F190-C190</f>
        <v>-4191.7510023000004</v>
      </c>
      <c r="J190" s="31">
        <f>G190-D190</f>
        <v>182.79092074999971</v>
      </c>
      <c r="K190" s="31">
        <f t="shared" ref="K190:M191" si="170">E190/B190%-100</f>
        <v>-46.203378490321931</v>
      </c>
      <c r="L190" s="31">
        <f t="shared" si="170"/>
        <v>-60.608535393609181</v>
      </c>
      <c r="M190" s="32">
        <f t="shared" si="170"/>
        <v>10.381945561982278</v>
      </c>
    </row>
    <row r="191" spans="1:13" x14ac:dyDescent="0.25">
      <c r="A191" s="85" t="s">
        <v>117</v>
      </c>
      <c r="B191" s="42">
        <v>123.75167478</v>
      </c>
      <c r="C191" s="42">
        <v>3.0058125200000001</v>
      </c>
      <c r="D191" s="42">
        <v>120.74586226000001</v>
      </c>
      <c r="E191" s="27">
        <v>106.42076676000001</v>
      </c>
      <c r="F191" s="27">
        <v>4.1553573699999999</v>
      </c>
      <c r="G191" s="27">
        <v>102.26540939</v>
      </c>
      <c r="H191" s="27">
        <f t="shared" ref="H191:J199" si="171">E191-B191</f>
        <v>-17.330908019999995</v>
      </c>
      <c r="I191" s="27">
        <f t="shared" si="171"/>
        <v>1.1495448499999998</v>
      </c>
      <c r="J191" s="27">
        <f t="shared" si="171"/>
        <v>-18.480452870000008</v>
      </c>
      <c r="K191" s="27">
        <f t="shared" si="170"/>
        <v>-14.004584625468766</v>
      </c>
      <c r="L191" s="27">
        <f t="shared" si="170"/>
        <v>38.244063538600187</v>
      </c>
      <c r="M191" s="427">
        <f t="shared" si="170"/>
        <v>-15.305247338584877</v>
      </c>
    </row>
    <row r="192" spans="1:13" x14ac:dyDescent="0.25">
      <c r="A192" s="85" t="s">
        <v>118</v>
      </c>
      <c r="B192" s="42">
        <v>8.1710209099999993</v>
      </c>
      <c r="C192" s="42">
        <v>3.0058125200000001</v>
      </c>
      <c r="D192" s="42">
        <v>5.165208390000001</v>
      </c>
      <c r="E192" s="27">
        <v>32.846515920000002</v>
      </c>
      <c r="F192" s="27">
        <v>4.1553573699999999</v>
      </c>
      <c r="G192" s="27">
        <v>28.691158550000001</v>
      </c>
      <c r="H192" s="27">
        <f t="shared" si="171"/>
        <v>24.675495010000002</v>
      </c>
      <c r="I192" s="27">
        <f t="shared" si="171"/>
        <v>1.1495448499999998</v>
      </c>
      <c r="J192" s="27">
        <f t="shared" si="171"/>
        <v>23.525950160000001</v>
      </c>
      <c r="K192" s="27">
        <f t="shared" ref="K192:K193" si="172">E192/B192%-100</f>
        <v>301.98790679633697</v>
      </c>
      <c r="L192" s="27">
        <f t="shared" ref="L192" si="173">F192/C192%-100</f>
        <v>38.244063538600187</v>
      </c>
      <c r="M192" s="427">
        <f t="shared" ref="M192:M193" si="174">G192/D192%-100</f>
        <v>455.469525790033</v>
      </c>
    </row>
    <row r="193" spans="1:13" x14ac:dyDescent="0.25">
      <c r="A193" s="85" t="s">
        <v>119</v>
      </c>
      <c r="B193" s="42">
        <v>115.58065386999999</v>
      </c>
      <c r="C193" s="42"/>
      <c r="D193" s="42">
        <v>115.58065386999999</v>
      </c>
      <c r="E193" s="27">
        <v>73.574250840000005</v>
      </c>
      <c r="F193" s="27"/>
      <c r="G193" s="27">
        <v>73.574250840000005</v>
      </c>
      <c r="H193" s="27">
        <f t="shared" si="171"/>
        <v>-42.006403029999987</v>
      </c>
      <c r="I193" s="27">
        <f t="shared" si="171"/>
        <v>0</v>
      </c>
      <c r="J193" s="27">
        <f t="shared" si="171"/>
        <v>-42.006403029999987</v>
      </c>
      <c r="K193" s="27">
        <f t="shared" si="172"/>
        <v>-36.343801166972916</v>
      </c>
      <c r="L193" s="27"/>
      <c r="M193" s="427">
        <f t="shared" si="174"/>
        <v>-36.343801166972916</v>
      </c>
    </row>
    <row r="194" spans="1:13" s="496" customFormat="1" ht="26.4" x14ac:dyDescent="0.25">
      <c r="A194" s="84" t="s">
        <v>673</v>
      </c>
      <c r="B194" s="356">
        <v>4023.1640531400003</v>
      </c>
      <c r="C194" s="356">
        <v>1627.73407544</v>
      </c>
      <c r="D194" s="356">
        <v>2395.4299777000001</v>
      </c>
      <c r="E194" s="31">
        <v>2154.2288946499998</v>
      </c>
      <c r="F194" s="31">
        <v>1027.70492203</v>
      </c>
      <c r="G194" s="31">
        <v>1126.52397262</v>
      </c>
      <c r="H194" s="31">
        <f t="shared" ref="H194" si="175">E194-B194</f>
        <v>-1868.9351584900005</v>
      </c>
      <c r="I194" s="31">
        <f t="shared" ref="I194" si="176">F194-C194</f>
        <v>-600.02915340999994</v>
      </c>
      <c r="J194" s="31">
        <f t="shared" ref="J194" si="177">G194-D194</f>
        <v>-1268.9060050800001</v>
      </c>
      <c r="K194" s="31">
        <f t="shared" ref="K194" si="178">E194/B194%-100</f>
        <v>-46.454361139743568</v>
      </c>
      <c r="L194" s="31">
        <f t="shared" ref="L194" si="179">F194/C194%-100</f>
        <v>-36.862848942189984</v>
      </c>
      <c r="M194" s="441">
        <f t="shared" ref="M194" si="180">G194/D194%-100</f>
        <v>-52.971951461438877</v>
      </c>
    </row>
    <row r="195" spans="1:13" s="496" customFormat="1" ht="26.4" x14ac:dyDescent="0.25">
      <c r="A195" s="30" t="s">
        <v>214</v>
      </c>
      <c r="B195" s="356">
        <v>50.975985310000006</v>
      </c>
      <c r="C195" s="356">
        <v>0</v>
      </c>
      <c r="D195" s="356">
        <v>50.975985310000006</v>
      </c>
      <c r="E195" s="356">
        <v>27.769372599999997</v>
      </c>
      <c r="F195" s="356">
        <v>2.02E-4</v>
      </c>
      <c r="G195" s="356">
        <v>27.769170599999999</v>
      </c>
      <c r="H195" s="31">
        <f t="shared" si="171"/>
        <v>-23.206612710000009</v>
      </c>
      <c r="I195" s="31">
        <f t="shared" si="171"/>
        <v>2.02E-4</v>
      </c>
      <c r="J195" s="31">
        <f t="shared" si="171"/>
        <v>-23.206814710000007</v>
      </c>
      <c r="K195" s="31">
        <f t="shared" ref="K195:K198" si="181">E195/B195%-100</f>
        <v>-45.524598629871988</v>
      </c>
      <c r="L195" s="31"/>
      <c r="M195" s="441">
        <f t="shared" ref="M195:M198" si="182">G195/D195%-100</f>
        <v>-45.524994894895151</v>
      </c>
    </row>
    <row r="196" spans="1:13" s="450" customFormat="1" x14ac:dyDescent="0.25">
      <c r="A196" s="30" t="s">
        <v>120</v>
      </c>
      <c r="B196" s="356">
        <v>37271.494915080002</v>
      </c>
      <c r="C196" s="356">
        <v>33971.606715080001</v>
      </c>
      <c r="D196" s="356">
        <v>4011.3548649999998</v>
      </c>
      <c r="E196" s="31">
        <v>46317.582615079999</v>
      </c>
      <c r="F196" s="31">
        <v>42671.662715080005</v>
      </c>
      <c r="G196" s="31">
        <v>4357.3865649999998</v>
      </c>
      <c r="H196" s="31">
        <f t="shared" si="171"/>
        <v>9046.0876999999964</v>
      </c>
      <c r="I196" s="31">
        <f t="shared" si="171"/>
        <v>8700.0560000000041</v>
      </c>
      <c r="J196" s="31">
        <f t="shared" si="171"/>
        <v>346.0317</v>
      </c>
      <c r="K196" s="31">
        <f t="shared" si="181"/>
        <v>24.270793861664941</v>
      </c>
      <c r="L196" s="31">
        <f t="shared" ref="L196:L198" si="183">F196/C196%-100</f>
        <v>25.609786646146603</v>
      </c>
      <c r="M196" s="441">
        <f t="shared" si="182"/>
        <v>8.626304868193202</v>
      </c>
    </row>
    <row r="197" spans="1:13" x14ac:dyDescent="0.25">
      <c r="A197" s="36" t="s">
        <v>121</v>
      </c>
      <c r="B197" s="42">
        <v>13671.66271508</v>
      </c>
      <c r="C197" s="42">
        <v>13671.66271508</v>
      </c>
      <c r="D197" s="42">
        <v>711.46666500000003</v>
      </c>
      <c r="E197" s="27">
        <v>18671.662715080001</v>
      </c>
      <c r="F197" s="27">
        <v>18671.662715080001</v>
      </c>
      <c r="G197" s="27">
        <v>711.46666500000003</v>
      </c>
      <c r="H197" s="27">
        <f t="shared" si="171"/>
        <v>5000.0000000000018</v>
      </c>
      <c r="I197" s="27">
        <f t="shared" si="171"/>
        <v>5000.0000000000018</v>
      </c>
      <c r="J197" s="27">
        <f t="shared" si="171"/>
        <v>0</v>
      </c>
      <c r="K197" s="27">
        <f t="shared" si="181"/>
        <v>36.571996429409751</v>
      </c>
      <c r="L197" s="27">
        <f t="shared" si="183"/>
        <v>36.571996429409751</v>
      </c>
      <c r="M197" s="427">
        <f t="shared" si="182"/>
        <v>0</v>
      </c>
    </row>
    <row r="198" spans="1:13" x14ac:dyDescent="0.25">
      <c r="A198" s="36" t="s">
        <v>122</v>
      </c>
      <c r="B198" s="42">
        <v>23599.832200000001</v>
      </c>
      <c r="C198" s="42">
        <v>20299.944</v>
      </c>
      <c r="D198" s="42">
        <v>3299.8881999999999</v>
      </c>
      <c r="E198" s="27">
        <v>27645.919900000001</v>
      </c>
      <c r="F198" s="27">
        <v>24000</v>
      </c>
      <c r="G198" s="27">
        <v>3645.9198999999999</v>
      </c>
      <c r="H198" s="27">
        <f t="shared" si="171"/>
        <v>4046.0877</v>
      </c>
      <c r="I198" s="27">
        <f t="shared" si="171"/>
        <v>3700.0560000000005</v>
      </c>
      <c r="J198" s="27">
        <f t="shared" si="171"/>
        <v>346.0317</v>
      </c>
      <c r="K198" s="27">
        <f t="shared" si="181"/>
        <v>17.144561307516412</v>
      </c>
      <c r="L198" s="27">
        <f t="shared" si="183"/>
        <v>18.22692712846893</v>
      </c>
      <c r="M198" s="427">
        <f t="shared" si="182"/>
        <v>10.486164349446739</v>
      </c>
    </row>
    <row r="199" spans="1:13" ht="13.8" thickBot="1" x14ac:dyDescent="0.3">
      <c r="A199" s="127" t="s">
        <v>123</v>
      </c>
      <c r="B199" s="442">
        <v>0</v>
      </c>
      <c r="C199" s="442">
        <v>0</v>
      </c>
      <c r="D199" s="442">
        <v>0</v>
      </c>
      <c r="E199" s="130">
        <v>0</v>
      </c>
      <c r="F199" s="130">
        <v>0</v>
      </c>
      <c r="G199" s="130">
        <v>0</v>
      </c>
      <c r="H199" s="130">
        <f t="shared" si="171"/>
        <v>0</v>
      </c>
      <c r="I199" s="130">
        <f t="shared" si="171"/>
        <v>0</v>
      </c>
      <c r="J199" s="130">
        <f t="shared" si="171"/>
        <v>0</v>
      </c>
      <c r="K199" s="130"/>
      <c r="L199" s="130"/>
      <c r="M199" s="131"/>
    </row>
    <row r="200" spans="1:13" ht="13.8" thickTop="1" x14ac:dyDescent="0.25">
      <c r="A200" s="135"/>
      <c r="B200" s="107"/>
      <c r="C200" s="107"/>
      <c r="D200" s="107"/>
      <c r="E200" s="26"/>
      <c r="F200" s="26"/>
      <c r="G200" s="26"/>
      <c r="H200" s="26"/>
      <c r="I200" s="26"/>
      <c r="J200" s="26"/>
      <c r="K200" s="26"/>
      <c r="L200" s="26"/>
      <c r="M200" s="26"/>
    </row>
  </sheetData>
  <mergeCells count="27">
    <mergeCell ref="B189:D189"/>
    <mergeCell ref="E189:G189"/>
    <mergeCell ref="H189:J189"/>
    <mergeCell ref="K189:M189"/>
    <mergeCell ref="I5:J5"/>
    <mergeCell ref="K5:K7"/>
    <mergeCell ref="L5:M5"/>
    <mergeCell ref="I6:I7"/>
    <mergeCell ref="J6:J7"/>
    <mergeCell ref="L6:L7"/>
    <mergeCell ref="M6:M7"/>
    <mergeCell ref="K1:M1"/>
    <mergeCell ref="A2:M2"/>
    <mergeCell ref="A4:A7"/>
    <mergeCell ref="B4:D4"/>
    <mergeCell ref="E4:G4"/>
    <mergeCell ref="H4:J4"/>
    <mergeCell ref="K4:M4"/>
    <mergeCell ref="B5:B7"/>
    <mergeCell ref="C5:D5"/>
    <mergeCell ref="E5:E7"/>
    <mergeCell ref="C6:C7"/>
    <mergeCell ref="D6:D7"/>
    <mergeCell ref="F6:F7"/>
    <mergeCell ref="G6:G7"/>
    <mergeCell ref="F5:G5"/>
    <mergeCell ref="H5:H7"/>
  </mergeCells>
  <printOptions horizontalCentered="1"/>
  <pageMargins left="0" right="0" top="0.55118110236220474" bottom="0.35433070866141736" header="0.31496062992125984" footer="0.11811023622047245"/>
  <pageSetup paperSize="9" scale="90" fitToHeight="6" orientation="landscape" r:id="rId1"/>
  <headerFooter>
    <oddFooter>&amp;C&amp;P</oddFooter>
  </headerFooter>
  <rowBreaks count="1" manualBreakCount="1">
    <brk id="57" max="1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I67"/>
  <sheetViews>
    <sheetView zoomScale="40" zoomScaleNormal="40" workbookViewId="0">
      <pane xSplit="1" ySplit="6" topLeftCell="IT7" activePane="bottomRight" state="frozen"/>
      <selection pane="topRight" activeCell="B1" sqref="B1"/>
      <selection pane="bottomLeft" activeCell="A7" sqref="A7"/>
      <selection pane="bottomRight" activeCell="IS46" sqref="IS46"/>
    </sheetView>
  </sheetViews>
  <sheetFormatPr defaultColWidth="9.109375" defaultRowHeight="13.2" x14ac:dyDescent="0.25"/>
  <cols>
    <col min="1" max="1" width="21" style="161" bestFit="1" customWidth="1"/>
    <col min="2" max="5" width="9.109375" style="162" customWidth="1"/>
    <col min="6" max="6" width="12.33203125" style="165" bestFit="1" customWidth="1"/>
    <col min="7" max="10" width="9.109375" style="162" customWidth="1"/>
    <col min="11" max="11" width="13.109375" style="165" customWidth="1"/>
    <col min="12" max="14" width="9.109375" style="162" customWidth="1"/>
    <col min="15" max="15" width="11.33203125" style="165" bestFit="1" customWidth="1"/>
    <col min="16" max="18" width="9.109375" style="162" customWidth="1"/>
    <col min="19" max="19" width="11.33203125" style="165" bestFit="1" customWidth="1"/>
    <col min="20" max="23" width="9.109375" style="162" customWidth="1"/>
    <col min="24" max="24" width="12.33203125" style="165" bestFit="1" customWidth="1"/>
    <col min="25" max="28" width="9.109375" style="162" customWidth="1"/>
    <col min="29" max="31" width="12.33203125" style="165" bestFit="1" customWidth="1"/>
    <col min="32" max="32" width="5.109375" style="165" bestFit="1" customWidth="1"/>
    <col min="33" max="34" width="12.33203125" style="165" customWidth="1"/>
    <col min="35" max="35" width="11.33203125" style="165" customWidth="1"/>
    <col min="36" max="36" width="9.109375" style="165" customWidth="1"/>
    <col min="37" max="38" width="12.33203125" style="165" bestFit="1" customWidth="1"/>
    <col min="39" max="39" width="5.109375" style="165" bestFit="1" customWidth="1"/>
    <col min="40" max="40" width="8.109375" style="162" customWidth="1"/>
    <col min="41" max="41" width="7.6640625" style="162" customWidth="1"/>
    <col min="42" max="42" width="7" style="162" customWidth="1"/>
    <col min="43" max="43" width="7.5546875" style="162" customWidth="1"/>
    <col min="44" max="44" width="10.33203125" style="165" bestFit="1" customWidth="1"/>
    <col min="45" max="45" width="8.6640625" style="162" customWidth="1"/>
    <col min="46" max="46" width="7.88671875" style="162" customWidth="1"/>
    <col min="47" max="47" width="6.6640625" style="162" customWidth="1"/>
    <col min="48" max="48" width="7.109375" style="162" customWidth="1"/>
    <col min="49" max="49" width="11.33203125" style="165" bestFit="1" customWidth="1"/>
    <col min="50" max="53" width="9.109375" style="162" customWidth="1"/>
    <col min="54" max="54" width="9.109375" style="165" customWidth="1"/>
    <col min="55" max="55" width="12.33203125" style="165" bestFit="1" customWidth="1"/>
    <col min="56" max="59" width="9.109375" style="162" customWidth="1"/>
    <col min="60" max="60" width="9.109375" style="165" customWidth="1"/>
    <col min="61" max="63" width="12.33203125" style="165" bestFit="1" customWidth="1"/>
    <col min="64" max="64" width="5.109375" style="165" bestFit="1" customWidth="1"/>
    <col min="65" max="68" width="9.109375" style="162" customWidth="1"/>
    <col min="69" max="69" width="12.33203125" style="165" bestFit="1" customWidth="1"/>
    <col min="70" max="70" width="12.33203125" style="165" customWidth="1"/>
    <col min="71" max="74" width="9.109375" style="162" customWidth="1"/>
    <col min="75" max="75" width="12.33203125" style="165" bestFit="1" customWidth="1"/>
    <col min="76" max="77" width="12.33203125" style="165" customWidth="1"/>
    <col min="78" max="78" width="11.33203125" style="162" customWidth="1"/>
    <col min="79" max="79" width="11.33203125" style="165" customWidth="1"/>
    <col min="80" max="80" width="11.33203125" style="162" customWidth="1"/>
    <col min="81" max="81" width="11.33203125" style="165" customWidth="1"/>
    <col min="82" max="83" width="6.109375" style="165" customWidth="1"/>
    <col min="84" max="84" width="7.44140625" style="162" customWidth="1"/>
    <col min="85" max="85" width="9.6640625" style="165" bestFit="1" customWidth="1"/>
    <col min="86" max="86" width="8" style="162" customWidth="1"/>
    <col min="87" max="87" width="9" style="165" customWidth="1"/>
    <col min="88" max="89" width="6.109375" style="165" customWidth="1"/>
    <col min="90" max="90" width="9.6640625" style="165" bestFit="1" customWidth="1"/>
    <col min="91" max="91" width="9.6640625" style="162" customWidth="1"/>
    <col min="92" max="92" width="9.6640625" style="165" customWidth="1"/>
    <col min="93" max="93" width="6.109375" style="165" customWidth="1"/>
    <col min="94" max="94" width="11.33203125" style="165" customWidth="1"/>
    <col min="95" max="95" width="6.109375" style="165" customWidth="1"/>
    <col min="96" max="98" width="10" style="165" customWidth="1"/>
    <col min="99" max="99" width="8.5546875" style="165" customWidth="1"/>
    <col min="100" max="100" width="11.33203125" style="165" bestFit="1" customWidth="1"/>
    <col min="101" max="101" width="6.109375" style="165" customWidth="1"/>
    <col min="102" max="102" width="11.33203125" style="165" bestFit="1" customWidth="1"/>
    <col min="103" max="104" width="6.109375" style="165" customWidth="1"/>
    <col min="105" max="105" width="12.33203125" style="165" bestFit="1" customWidth="1"/>
    <col min="106" max="106" width="9.5546875" style="165" customWidth="1"/>
    <col min="107" max="107" width="9.33203125" style="162" customWidth="1"/>
    <col min="108" max="108" width="11.33203125" style="165" customWidth="1"/>
    <col min="109" max="109" width="8.88671875" style="162" customWidth="1"/>
    <col min="110" max="112" width="11.33203125" style="165" customWidth="1"/>
    <col min="113" max="113" width="12.6640625" style="165" customWidth="1"/>
    <col min="114" max="114" width="12.33203125" style="165" bestFit="1" customWidth="1"/>
    <col min="115" max="115" width="11.33203125" style="165" bestFit="1" customWidth="1"/>
    <col min="116" max="119" width="9.109375" style="162" customWidth="1"/>
    <col min="120" max="120" width="12.33203125" style="165" bestFit="1" customWidth="1"/>
    <col min="121" max="124" width="9.109375" style="162" customWidth="1"/>
    <col min="125" max="127" width="12.33203125" style="165" bestFit="1" customWidth="1"/>
    <col min="128" max="128" width="5.88671875" style="165" customWidth="1"/>
    <col min="129" max="129" width="9.109375" style="162" customWidth="1"/>
    <col min="130" max="130" width="11.33203125" style="165" bestFit="1" customWidth="1"/>
    <col min="131" max="134" width="11.33203125" style="165" customWidth="1"/>
    <col min="135" max="135" width="9.109375" style="162" customWidth="1"/>
    <col min="136" max="136" width="11.33203125" style="165" bestFit="1" customWidth="1"/>
    <col min="137" max="143" width="11.33203125" style="165" customWidth="1"/>
    <col min="144" max="144" width="8.6640625" style="165" customWidth="1"/>
    <col min="145" max="151" width="6.5546875" style="165" customWidth="1"/>
    <col min="152" max="152" width="11.33203125" style="162" customWidth="1"/>
    <col min="153" max="153" width="9.6640625" style="165" bestFit="1" customWidth="1"/>
    <col min="154" max="154" width="11.33203125" style="315" customWidth="1"/>
    <col min="155" max="156" width="11.33203125" style="165" customWidth="1"/>
    <col min="157" max="157" width="6.33203125" style="165" customWidth="1"/>
    <col min="158" max="158" width="8.33203125" style="162" customWidth="1"/>
    <col min="159" max="159" width="8.88671875" style="165" bestFit="1" customWidth="1"/>
    <col min="160" max="160" width="8" style="165" customWidth="1"/>
    <col min="161" max="161" width="8.33203125" style="165" customWidth="1"/>
    <col min="162" max="162" width="9" style="165" customWidth="1"/>
    <col min="163" max="163" width="6.33203125" style="165" customWidth="1"/>
    <col min="164" max="164" width="11.33203125" style="163" customWidth="1"/>
    <col min="165" max="165" width="9.6640625" style="163" customWidth="1"/>
    <col min="166" max="166" width="11.33203125" style="163" customWidth="1"/>
    <col min="167" max="168" width="9.6640625" style="163" customWidth="1"/>
    <col min="169" max="169" width="9.33203125" style="163" customWidth="1"/>
    <col min="170" max="181" width="9.109375" style="163" customWidth="1"/>
    <col min="182" max="182" width="12.33203125" style="163" bestFit="1" customWidth="1"/>
    <col min="183" max="183" width="9.109375" style="163" customWidth="1"/>
    <col min="184" max="184" width="12.33203125" style="163" bestFit="1" customWidth="1"/>
    <col min="185" max="253" width="9.109375" style="163" customWidth="1"/>
    <col min="254" max="254" width="12.33203125" style="163" bestFit="1" customWidth="1"/>
    <col min="255" max="255" width="9.109375" style="163"/>
    <col min="256" max="256" width="11.33203125" style="163" bestFit="1" customWidth="1"/>
    <col min="257" max="286" width="9.109375" style="163"/>
    <col min="287" max="287" width="11.33203125" style="163" bestFit="1" customWidth="1"/>
    <col min="288" max="288" width="9.109375" style="163"/>
    <col min="289" max="289" width="11.33203125" style="163" bestFit="1" customWidth="1"/>
    <col min="290" max="16384" width="9.109375" style="163"/>
  </cols>
  <sheetData>
    <row r="1" spans="1:292" s="156" customFormat="1" x14ac:dyDescent="0.25">
      <c r="B1" s="157"/>
      <c r="C1" s="157"/>
      <c r="D1" s="157"/>
      <c r="E1" s="157"/>
      <c r="G1" s="157"/>
      <c r="H1" s="157"/>
      <c r="I1" s="157"/>
      <c r="J1" s="157"/>
      <c r="L1" s="157"/>
      <c r="M1" s="157"/>
      <c r="N1" s="157"/>
      <c r="P1" s="157"/>
      <c r="Q1" s="157"/>
      <c r="R1" s="157"/>
      <c r="T1" s="157"/>
      <c r="U1" s="157"/>
      <c r="V1" s="157"/>
      <c r="W1" s="157"/>
      <c r="Y1" s="157"/>
      <c r="Z1" s="157"/>
      <c r="AA1" s="157"/>
      <c r="AB1" s="157"/>
      <c r="AN1" s="157"/>
      <c r="AO1" s="157"/>
      <c r="AP1" s="157"/>
      <c r="AQ1" s="157"/>
      <c r="AS1" s="157"/>
      <c r="AT1" s="157"/>
      <c r="AU1" s="157"/>
      <c r="AV1" s="157"/>
      <c r="AX1" s="157"/>
      <c r="AY1" s="157"/>
      <c r="AZ1" s="157"/>
      <c r="BA1" s="157"/>
      <c r="BD1" s="157"/>
      <c r="BE1" s="157"/>
      <c r="BF1" s="157"/>
      <c r="BG1" s="157"/>
      <c r="BM1" s="157"/>
      <c r="BN1" s="157"/>
      <c r="BO1" s="157"/>
      <c r="BP1" s="157"/>
      <c r="BS1" s="157"/>
      <c r="BT1" s="157"/>
      <c r="BU1" s="157"/>
      <c r="BV1" s="157"/>
      <c r="BZ1" s="157"/>
      <c r="CB1" s="157"/>
      <c r="CF1" s="157"/>
      <c r="CH1" s="157"/>
      <c r="CM1" s="157"/>
      <c r="DC1" s="157"/>
      <c r="DE1" s="157"/>
      <c r="DL1" s="157"/>
      <c r="DM1" s="157"/>
      <c r="DN1" s="157"/>
      <c r="DO1" s="157"/>
      <c r="DQ1" s="157"/>
      <c r="DR1" s="157"/>
      <c r="DS1" s="157"/>
      <c r="DT1" s="157"/>
      <c r="DY1" s="157"/>
      <c r="EE1" s="157"/>
      <c r="EV1" s="157"/>
      <c r="EX1" s="175"/>
      <c r="FB1" s="157"/>
    </row>
    <row r="2" spans="1:292" s="156" customFormat="1" x14ac:dyDescent="0.25">
      <c r="B2" s="157"/>
      <c r="C2" s="157"/>
      <c r="D2" s="157"/>
      <c r="E2" s="157"/>
      <c r="G2" s="157"/>
      <c r="H2" s="157"/>
      <c r="I2" s="157"/>
      <c r="J2" s="157"/>
      <c r="L2" s="157"/>
      <c r="M2" s="157"/>
      <c r="N2" s="157"/>
      <c r="P2" s="157"/>
      <c r="Q2" s="157"/>
      <c r="R2" s="157"/>
      <c r="T2" s="157"/>
      <c r="U2" s="157"/>
      <c r="V2" s="157"/>
      <c r="W2" s="157"/>
      <c r="Y2" s="157"/>
      <c r="Z2" s="157"/>
      <c r="AA2" s="157"/>
      <c r="AB2" s="157"/>
      <c r="AN2" s="157"/>
      <c r="AO2" s="157"/>
      <c r="AP2" s="157"/>
      <c r="AQ2" s="157"/>
      <c r="AS2" s="157"/>
      <c r="AT2" s="157"/>
      <c r="AU2" s="157"/>
      <c r="AV2" s="157"/>
      <c r="AX2" s="157"/>
      <c r="AY2" s="157"/>
      <c r="AZ2" s="157"/>
      <c r="BA2" s="157"/>
      <c r="BD2" s="157"/>
      <c r="BE2" s="157"/>
      <c r="BF2" s="157"/>
      <c r="BG2" s="157"/>
      <c r="BM2" s="157"/>
      <c r="BN2" s="157"/>
      <c r="BO2" s="157"/>
      <c r="BP2" s="157"/>
      <c r="BS2" s="157"/>
      <c r="BT2" s="157"/>
      <c r="BU2" s="157"/>
      <c r="BV2" s="157"/>
      <c r="BZ2" s="157"/>
      <c r="CB2" s="157"/>
      <c r="CF2" s="157"/>
      <c r="CH2" s="157"/>
      <c r="CM2" s="157"/>
      <c r="DC2" s="157"/>
      <c r="DE2" s="157"/>
      <c r="DL2" s="157"/>
      <c r="DM2" s="157"/>
      <c r="DN2" s="157"/>
      <c r="DO2" s="157"/>
      <c r="DQ2" s="157"/>
      <c r="DR2" s="157"/>
      <c r="DS2" s="157"/>
      <c r="DT2" s="157"/>
      <c r="DY2" s="157"/>
      <c r="EE2" s="157"/>
      <c r="EV2" s="157"/>
      <c r="EX2" s="175"/>
      <c r="FB2" s="157"/>
    </row>
    <row r="3" spans="1:292" s="156" customFormat="1" x14ac:dyDescent="0.25">
      <c r="B3" s="157"/>
      <c r="C3" s="157"/>
      <c r="D3" s="157"/>
      <c r="E3" s="157"/>
      <c r="G3" s="157"/>
      <c r="H3" s="157"/>
      <c r="I3" s="157"/>
      <c r="J3" s="157"/>
      <c r="L3" s="157"/>
      <c r="M3" s="157"/>
      <c r="N3" s="157"/>
      <c r="P3" s="157"/>
      <c r="Q3" s="157"/>
      <c r="R3" s="157"/>
      <c r="T3" s="157"/>
      <c r="U3" s="157"/>
      <c r="V3" s="157"/>
      <c r="W3" s="157"/>
      <c r="Y3" s="157"/>
      <c r="Z3" s="157"/>
      <c r="AA3" s="157"/>
      <c r="AB3" s="157"/>
      <c r="AN3" s="157"/>
      <c r="AO3" s="157"/>
      <c r="AP3" s="157"/>
      <c r="AQ3" s="157"/>
      <c r="AS3" s="157"/>
      <c r="AT3" s="157"/>
      <c r="AU3" s="157"/>
      <c r="AV3" s="157"/>
      <c r="AX3" s="157"/>
      <c r="AY3" s="157"/>
      <c r="AZ3" s="157"/>
      <c r="BA3" s="157"/>
      <c r="BD3" s="157"/>
      <c r="BE3" s="157"/>
      <c r="BF3" s="157"/>
      <c r="BG3" s="157"/>
      <c r="BM3" s="157"/>
      <c r="BN3" s="157"/>
      <c r="BO3" s="157"/>
      <c r="BP3" s="157"/>
      <c r="BS3" s="157"/>
      <c r="BT3" s="157"/>
      <c r="BU3" s="157"/>
      <c r="BV3" s="157"/>
      <c r="BZ3" s="157"/>
      <c r="CB3" s="157"/>
      <c r="CF3" s="157"/>
      <c r="CH3" s="157"/>
      <c r="CM3" s="157"/>
      <c r="DC3" s="157"/>
      <c r="DE3" s="157"/>
      <c r="DL3" s="157"/>
      <c r="DM3" s="157"/>
      <c r="DN3" s="157"/>
      <c r="DO3" s="157"/>
      <c r="DQ3" s="157"/>
      <c r="DR3" s="157"/>
      <c r="DS3" s="157"/>
      <c r="DT3" s="157"/>
      <c r="DY3" s="157"/>
      <c r="EE3" s="157"/>
      <c r="EV3" s="157"/>
      <c r="EX3" s="175"/>
      <c r="FB3" s="157"/>
    </row>
    <row r="4" spans="1:292" s="158" customFormat="1" ht="85.5" customHeight="1" x14ac:dyDescent="0.25">
      <c r="A4" s="1197" t="s">
        <v>124</v>
      </c>
      <c r="B4" s="1197" t="s">
        <v>125</v>
      </c>
      <c r="C4" s="1197"/>
      <c r="D4" s="1197"/>
      <c r="E4" s="1197"/>
      <c r="F4" s="1197"/>
      <c r="G4" s="1197"/>
      <c r="H4" s="1197"/>
      <c r="I4" s="1197"/>
      <c r="J4" s="1197"/>
      <c r="K4" s="1197"/>
      <c r="L4" s="1197" t="s">
        <v>126</v>
      </c>
      <c r="M4" s="1197"/>
      <c r="N4" s="1197"/>
      <c r="O4" s="1197"/>
      <c r="P4" s="1197"/>
      <c r="Q4" s="1197"/>
      <c r="R4" s="1197"/>
      <c r="S4" s="1197"/>
      <c r="T4" s="1197" t="s">
        <v>127</v>
      </c>
      <c r="U4" s="1197"/>
      <c r="V4" s="1197"/>
      <c r="W4" s="1197"/>
      <c r="X4" s="1197"/>
      <c r="Y4" s="1197"/>
      <c r="Z4" s="1197"/>
      <c r="AA4" s="1197"/>
      <c r="AB4" s="1197"/>
      <c r="AC4" s="1197"/>
      <c r="AD4" s="1197" t="s">
        <v>128</v>
      </c>
      <c r="AE4" s="1197"/>
      <c r="AF4" s="1197"/>
      <c r="AG4" s="1199" t="s">
        <v>129</v>
      </c>
      <c r="AH4" s="1199"/>
      <c r="AI4" s="1199"/>
      <c r="AJ4" s="1199"/>
      <c r="AK4" s="1197" t="s">
        <v>130</v>
      </c>
      <c r="AL4" s="1197"/>
      <c r="AM4" s="1197"/>
      <c r="AN4" s="1197" t="s">
        <v>566</v>
      </c>
      <c r="AO4" s="1197"/>
      <c r="AP4" s="1197"/>
      <c r="AQ4" s="1197"/>
      <c r="AR4" s="1197"/>
      <c r="AS4" s="1197"/>
      <c r="AT4" s="1197"/>
      <c r="AU4" s="1197"/>
      <c r="AV4" s="1197"/>
      <c r="AW4" s="1197"/>
      <c r="AX4" s="1197" t="s">
        <v>131</v>
      </c>
      <c r="AY4" s="1197"/>
      <c r="AZ4" s="1197"/>
      <c r="BA4" s="1197"/>
      <c r="BB4" s="1197"/>
      <c r="BC4" s="1197"/>
      <c r="BD4" s="1197"/>
      <c r="BE4" s="1197"/>
      <c r="BF4" s="1197"/>
      <c r="BG4" s="1197"/>
      <c r="BH4" s="1197"/>
      <c r="BI4" s="1197"/>
      <c r="BJ4" s="1197" t="s">
        <v>132</v>
      </c>
      <c r="BK4" s="1197"/>
      <c r="BL4" s="1197"/>
      <c r="BM4" s="1197" t="s">
        <v>133</v>
      </c>
      <c r="BN4" s="1197"/>
      <c r="BO4" s="1197"/>
      <c r="BP4" s="1197"/>
      <c r="BQ4" s="1197"/>
      <c r="BR4" s="1197"/>
      <c r="BS4" s="1197"/>
      <c r="BT4" s="1197"/>
      <c r="BU4" s="1197"/>
      <c r="BV4" s="1197"/>
      <c r="BW4" s="1197"/>
      <c r="BX4" s="1197"/>
      <c r="BY4" s="1197" t="s">
        <v>34</v>
      </c>
      <c r="BZ4" s="1197"/>
      <c r="CA4" s="1197"/>
      <c r="CB4" s="1197"/>
      <c r="CC4" s="1197"/>
      <c r="CD4" s="1197"/>
      <c r="CE4" s="1197"/>
      <c r="CF4" s="1197" t="s">
        <v>134</v>
      </c>
      <c r="CG4" s="1197"/>
      <c r="CH4" s="1197"/>
      <c r="CI4" s="1197"/>
      <c r="CJ4" s="1197"/>
      <c r="CK4" s="1197" t="s">
        <v>35</v>
      </c>
      <c r="CL4" s="1197"/>
      <c r="CM4" s="1197"/>
      <c r="CN4" s="1197"/>
      <c r="CO4" s="1197"/>
      <c r="CP4" s="1197"/>
      <c r="CQ4" s="1197"/>
      <c r="CR4" s="1197"/>
      <c r="CS4" s="1197"/>
      <c r="CT4" s="1197" t="s">
        <v>39</v>
      </c>
      <c r="CU4" s="1197"/>
      <c r="CV4" s="1197"/>
      <c r="CW4" s="1197"/>
      <c r="CX4" s="1197"/>
      <c r="CY4" s="1197"/>
      <c r="CZ4" s="1197"/>
      <c r="DA4" s="1197" t="s">
        <v>564</v>
      </c>
      <c r="DB4" s="158" t="s">
        <v>135</v>
      </c>
      <c r="DC4" s="1197" t="s">
        <v>637</v>
      </c>
      <c r="DD4" s="1197"/>
      <c r="DE4" s="1197" t="s">
        <v>135</v>
      </c>
      <c r="DF4" s="1197"/>
      <c r="DG4" s="1197" t="s">
        <v>582</v>
      </c>
      <c r="DH4" s="158" t="s">
        <v>135</v>
      </c>
      <c r="DI4" s="1197" t="s">
        <v>539</v>
      </c>
      <c r="DJ4" s="1197" t="s">
        <v>638</v>
      </c>
      <c r="DK4" s="1197" t="s">
        <v>667</v>
      </c>
      <c r="DL4" s="1197" t="s">
        <v>136</v>
      </c>
      <c r="DM4" s="1197"/>
      <c r="DN4" s="1197"/>
      <c r="DO4" s="1197"/>
      <c r="DP4" s="1197"/>
      <c r="DQ4" s="1197"/>
      <c r="DR4" s="1197"/>
      <c r="DS4" s="1197"/>
      <c r="DT4" s="1197"/>
      <c r="DU4" s="1197"/>
      <c r="DV4" s="1197" t="s">
        <v>388</v>
      </c>
      <c r="DW4" s="1197"/>
      <c r="DX4" s="1197"/>
      <c r="DY4" s="1197" t="s">
        <v>137</v>
      </c>
      <c r="DZ4" s="1197"/>
      <c r="EA4" s="1197"/>
      <c r="EB4" s="1197"/>
      <c r="EC4" s="1197"/>
      <c r="ED4" s="1197"/>
      <c r="EE4" s="1197"/>
      <c r="EF4" s="1197"/>
      <c r="EG4" s="1197"/>
      <c r="EH4" s="1197"/>
      <c r="EI4" s="1197"/>
      <c r="EJ4" s="1197" t="s">
        <v>495</v>
      </c>
      <c r="EK4" s="1197"/>
      <c r="EL4" s="1197"/>
      <c r="EM4" s="1197"/>
      <c r="EN4" s="1197"/>
      <c r="EO4" s="1197"/>
      <c r="EP4" s="1197" t="s">
        <v>585</v>
      </c>
      <c r="EQ4" s="1197"/>
      <c r="ER4" s="1197"/>
      <c r="ES4" s="1197"/>
      <c r="ET4" s="1197"/>
      <c r="EU4" s="1197"/>
      <c r="EV4" s="1197" t="s">
        <v>496</v>
      </c>
      <c r="EW4" s="1197"/>
      <c r="EX4" s="1197"/>
      <c r="EY4" s="1197"/>
      <c r="EZ4" s="1197"/>
      <c r="FA4" s="1197"/>
      <c r="FB4" s="1197" t="s">
        <v>504</v>
      </c>
      <c r="FC4" s="1197"/>
      <c r="FD4" s="1197"/>
      <c r="FE4" s="1197"/>
      <c r="FF4" s="1197"/>
      <c r="FG4" s="1197"/>
      <c r="FH4" s="1199" t="s">
        <v>679</v>
      </c>
      <c r="FI4" s="1199"/>
      <c r="FJ4" s="1199"/>
      <c r="FK4" s="1199"/>
      <c r="FL4" s="1199"/>
      <c r="FM4" s="1199"/>
      <c r="FN4" s="1198" t="s">
        <v>389</v>
      </c>
      <c r="FO4" s="1198"/>
      <c r="FP4" s="1198"/>
      <c r="FQ4" s="1198"/>
      <c r="FR4" s="1198"/>
      <c r="FS4" s="1198"/>
      <c r="FT4" s="1198" t="s">
        <v>391</v>
      </c>
      <c r="FU4" s="1198"/>
      <c r="FV4" s="1198"/>
      <c r="FW4" s="1198"/>
      <c r="FX4" s="1198"/>
      <c r="FY4" s="1198"/>
      <c r="FZ4" s="1198" t="s">
        <v>414</v>
      </c>
      <c r="GA4" s="1198"/>
      <c r="GB4" s="1198"/>
      <c r="GC4" s="1198"/>
      <c r="GD4" s="1198"/>
      <c r="GE4" s="1198"/>
      <c r="GF4" s="1194" t="s">
        <v>595</v>
      </c>
      <c r="GG4" s="1194"/>
      <c r="GH4" s="1194"/>
      <c r="GI4" s="1194"/>
      <c r="GJ4" s="1194"/>
      <c r="GK4" s="1194"/>
      <c r="GL4" s="1198" t="s">
        <v>416</v>
      </c>
      <c r="GM4" s="1198"/>
      <c r="GN4" s="1198"/>
      <c r="GO4" s="1198"/>
      <c r="GP4" s="1198"/>
      <c r="GQ4" s="1198"/>
      <c r="GR4" s="1194" t="s">
        <v>417</v>
      </c>
      <c r="GS4" s="1194"/>
      <c r="GT4" s="1194"/>
      <c r="GU4" s="1194"/>
      <c r="GV4" s="1194"/>
      <c r="GW4" s="1194"/>
      <c r="GX4" s="1197" t="s">
        <v>419</v>
      </c>
      <c r="GY4" s="1197"/>
      <c r="GZ4" s="1197"/>
      <c r="HA4" s="1197"/>
      <c r="HB4" s="1197"/>
      <c r="HC4" s="1197"/>
      <c r="HD4" s="1197" t="s">
        <v>392</v>
      </c>
      <c r="HE4" s="1197"/>
      <c r="HF4" s="1197"/>
      <c r="HG4" s="1197"/>
      <c r="HH4" s="1197"/>
      <c r="HI4" s="1197"/>
      <c r="HJ4" s="1197" t="s">
        <v>594</v>
      </c>
      <c r="HK4" s="1197"/>
      <c r="HL4" s="1197"/>
      <c r="HM4" s="1197"/>
      <c r="HN4" s="1197"/>
      <c r="HO4" s="1197"/>
      <c r="HP4" s="1198" t="s">
        <v>415</v>
      </c>
      <c r="HQ4" s="1198"/>
      <c r="HR4" s="1198"/>
      <c r="HS4" s="1198"/>
      <c r="HT4" s="1198"/>
      <c r="HU4" s="1198"/>
      <c r="HV4" s="1198" t="s">
        <v>393</v>
      </c>
      <c r="HW4" s="1198"/>
      <c r="HX4" s="1198"/>
      <c r="HY4" s="1198"/>
      <c r="HZ4" s="1198"/>
      <c r="IA4" s="1198"/>
      <c r="IB4" s="1198" t="s">
        <v>467</v>
      </c>
      <c r="IC4" s="1198"/>
      <c r="ID4" s="1198"/>
      <c r="IE4" s="1198"/>
      <c r="IF4" s="1198"/>
      <c r="IG4" s="1198"/>
      <c r="IH4" s="1198" t="s">
        <v>677</v>
      </c>
      <c r="II4" s="1198"/>
      <c r="IJ4" s="1198"/>
      <c r="IK4" s="1198"/>
      <c r="IL4" s="1198"/>
      <c r="IM4" s="1198"/>
      <c r="IN4" s="1198" t="s">
        <v>678</v>
      </c>
      <c r="IO4" s="1198"/>
      <c r="IP4" s="1198"/>
      <c r="IQ4" s="1198"/>
      <c r="IR4" s="1198"/>
      <c r="IS4" s="1198"/>
      <c r="IT4" s="1199" t="s">
        <v>680</v>
      </c>
      <c r="IU4" s="1199"/>
      <c r="IV4" s="1199"/>
      <c r="IW4" s="1199"/>
      <c r="IX4" s="1199"/>
      <c r="IY4" s="1199"/>
      <c r="IZ4" s="1194" t="s">
        <v>596</v>
      </c>
      <c r="JA4" s="1194"/>
      <c r="JB4" s="1194"/>
      <c r="JC4" s="1194" t="s">
        <v>420</v>
      </c>
      <c r="JD4" s="1194"/>
      <c r="JE4" s="1194"/>
      <c r="JF4" s="1198" t="s">
        <v>403</v>
      </c>
      <c r="JG4" s="1198"/>
      <c r="JH4" s="1198"/>
      <c r="JI4" s="1198" t="s">
        <v>405</v>
      </c>
      <c r="JJ4" s="1198"/>
      <c r="JK4" s="1198"/>
      <c r="JL4" s="1198" t="s">
        <v>681</v>
      </c>
      <c r="JM4" s="1198"/>
      <c r="JN4" s="1198"/>
      <c r="JO4" s="1198" t="s">
        <v>597</v>
      </c>
      <c r="JP4" s="1198"/>
      <c r="JQ4" s="1198"/>
      <c r="JR4" s="1198" t="s">
        <v>506</v>
      </c>
      <c r="JS4" s="1198"/>
      <c r="JT4" s="1198"/>
      <c r="JU4" s="1198" t="s">
        <v>505</v>
      </c>
      <c r="JV4" s="1198"/>
      <c r="JW4" s="1198"/>
      <c r="JX4" s="1198" t="s">
        <v>573</v>
      </c>
      <c r="JY4" s="1198"/>
      <c r="JZ4" s="1198"/>
      <c r="KA4" s="1198" t="s">
        <v>598</v>
      </c>
      <c r="KB4" s="1198"/>
      <c r="KC4" s="1198"/>
      <c r="KD4" s="1198"/>
      <c r="KE4" s="1198"/>
      <c r="KF4" s="1198"/>
    </row>
    <row r="5" spans="1:292" s="158" customFormat="1" ht="39" customHeight="1" x14ac:dyDescent="0.25">
      <c r="A5" s="1197"/>
      <c r="B5" s="1197" t="s">
        <v>138</v>
      </c>
      <c r="C5" s="1197"/>
      <c r="D5" s="1197"/>
      <c r="E5" s="1197"/>
      <c r="F5" s="1197"/>
      <c r="G5" s="1197" t="s">
        <v>139</v>
      </c>
      <c r="H5" s="1197"/>
      <c r="I5" s="1197"/>
      <c r="J5" s="1197"/>
      <c r="K5" s="1197"/>
      <c r="L5" s="1197" t="s">
        <v>138</v>
      </c>
      <c r="M5" s="1197"/>
      <c r="N5" s="1197"/>
      <c r="O5" s="1197"/>
      <c r="P5" s="1197" t="s">
        <v>139</v>
      </c>
      <c r="Q5" s="1197"/>
      <c r="R5" s="1197"/>
      <c r="S5" s="1197"/>
      <c r="T5" s="1197" t="s">
        <v>138</v>
      </c>
      <c r="U5" s="1197"/>
      <c r="V5" s="1197"/>
      <c r="W5" s="1197"/>
      <c r="X5" s="1197"/>
      <c r="Y5" s="1197" t="s">
        <v>139</v>
      </c>
      <c r="Z5" s="1197"/>
      <c r="AA5" s="1197"/>
      <c r="AB5" s="1197"/>
      <c r="AC5" s="1197"/>
      <c r="AD5" s="1197" t="s">
        <v>138</v>
      </c>
      <c r="AE5" s="1197" t="s">
        <v>139</v>
      </c>
      <c r="AF5" s="1197" t="s">
        <v>140</v>
      </c>
      <c r="AG5" s="1199" t="s">
        <v>138</v>
      </c>
      <c r="AH5" s="1199" t="s">
        <v>62</v>
      </c>
      <c r="AI5" s="1199" t="s">
        <v>139</v>
      </c>
      <c r="AJ5" s="1199" t="s">
        <v>62</v>
      </c>
      <c r="AK5" s="1197" t="s">
        <v>138</v>
      </c>
      <c r="AL5" s="1197" t="s">
        <v>139</v>
      </c>
      <c r="AM5" s="1197" t="s">
        <v>140</v>
      </c>
      <c r="AN5" s="1197" t="s">
        <v>138</v>
      </c>
      <c r="AO5" s="1197"/>
      <c r="AP5" s="1197"/>
      <c r="AQ5" s="1197"/>
      <c r="AR5" s="1197"/>
      <c r="AS5" s="1197" t="s">
        <v>139</v>
      </c>
      <c r="AT5" s="1197"/>
      <c r="AU5" s="1197"/>
      <c r="AV5" s="1197"/>
      <c r="AW5" s="1197"/>
      <c r="AX5" s="1197" t="s">
        <v>138</v>
      </c>
      <c r="AY5" s="1197"/>
      <c r="AZ5" s="1197"/>
      <c r="BA5" s="1197"/>
      <c r="BB5" s="1197"/>
      <c r="BC5" s="1197"/>
      <c r="BD5" s="1197" t="s">
        <v>139</v>
      </c>
      <c r="BE5" s="1197"/>
      <c r="BF5" s="1197"/>
      <c r="BG5" s="1197"/>
      <c r="BH5" s="1197"/>
      <c r="BI5" s="1197"/>
      <c r="BJ5" s="1197" t="s">
        <v>138</v>
      </c>
      <c r="BK5" s="1197" t="s">
        <v>139</v>
      </c>
      <c r="BL5" s="1197" t="s">
        <v>140</v>
      </c>
      <c r="BM5" s="1197" t="s">
        <v>138</v>
      </c>
      <c r="BN5" s="1197"/>
      <c r="BO5" s="1197"/>
      <c r="BP5" s="1197"/>
      <c r="BQ5" s="1197"/>
      <c r="BR5" s="1197"/>
      <c r="BS5" s="1197" t="s">
        <v>139</v>
      </c>
      <c r="BT5" s="1197"/>
      <c r="BU5" s="1197"/>
      <c r="BV5" s="1197"/>
      <c r="BW5" s="1197"/>
      <c r="BX5" s="1197"/>
      <c r="BY5" s="1197" t="s">
        <v>635</v>
      </c>
      <c r="BZ5" s="1197" t="s">
        <v>138</v>
      </c>
      <c r="CA5" s="1197"/>
      <c r="CB5" s="1197" t="s">
        <v>139</v>
      </c>
      <c r="CC5" s="1197"/>
      <c r="CD5" s="1197" t="s">
        <v>140</v>
      </c>
      <c r="CE5" s="1197" t="s">
        <v>563</v>
      </c>
      <c r="CF5" s="1197" t="s">
        <v>138</v>
      </c>
      <c r="CG5" s="1197"/>
      <c r="CH5" s="1197" t="s">
        <v>139</v>
      </c>
      <c r="CI5" s="1197"/>
      <c r="CJ5" s="1197" t="s">
        <v>140</v>
      </c>
      <c r="CK5" s="1197" t="s">
        <v>561</v>
      </c>
      <c r="CL5" s="1197"/>
      <c r="CM5" s="1197" t="s">
        <v>635</v>
      </c>
      <c r="CN5" s="1197"/>
      <c r="CO5" s="1197" t="s">
        <v>636</v>
      </c>
      <c r="CP5" s="1197"/>
      <c r="CQ5" s="1197" t="s">
        <v>140</v>
      </c>
      <c r="CR5" s="1197" t="s">
        <v>562</v>
      </c>
      <c r="CS5" s="1197" t="s">
        <v>563</v>
      </c>
      <c r="CT5" s="1197" t="s">
        <v>635</v>
      </c>
      <c r="CU5" s="1197" t="s">
        <v>138</v>
      </c>
      <c r="CV5" s="1197"/>
      <c r="CW5" s="1197" t="s">
        <v>139</v>
      </c>
      <c r="CX5" s="1197"/>
      <c r="CY5" s="1197" t="s">
        <v>140</v>
      </c>
      <c r="CZ5" s="1197" t="s">
        <v>563</v>
      </c>
      <c r="DA5" s="1197"/>
      <c r="DB5" s="1197" t="s">
        <v>141</v>
      </c>
      <c r="DC5" s="1197"/>
      <c r="DD5" s="1197"/>
      <c r="DE5" s="1197" t="s">
        <v>141</v>
      </c>
      <c r="DF5" s="1197"/>
      <c r="DG5" s="1197"/>
      <c r="DH5" s="1197" t="s">
        <v>143</v>
      </c>
      <c r="DI5" s="1197"/>
      <c r="DJ5" s="1197"/>
      <c r="DK5" s="1197"/>
      <c r="DL5" s="1197" t="s">
        <v>138</v>
      </c>
      <c r="DM5" s="1197"/>
      <c r="DN5" s="1197"/>
      <c r="DO5" s="1197"/>
      <c r="DP5" s="1197"/>
      <c r="DQ5" s="1197" t="s">
        <v>139</v>
      </c>
      <c r="DR5" s="1197"/>
      <c r="DS5" s="1197"/>
      <c r="DT5" s="1197"/>
      <c r="DU5" s="1197"/>
      <c r="DV5" s="1197"/>
      <c r="DW5" s="1197"/>
      <c r="DX5" s="1197"/>
      <c r="DY5" s="1197" t="s">
        <v>138</v>
      </c>
      <c r="DZ5" s="1197"/>
      <c r="EA5" s="318" t="s">
        <v>406</v>
      </c>
      <c r="EB5" s="318" t="s">
        <v>407</v>
      </c>
      <c r="EC5" s="318" t="s">
        <v>408</v>
      </c>
      <c r="ED5" s="318" t="s">
        <v>409</v>
      </c>
      <c r="EE5" s="1197" t="s">
        <v>139</v>
      </c>
      <c r="EF5" s="1197"/>
      <c r="EG5" s="368" t="s">
        <v>407</v>
      </c>
      <c r="EH5" s="368" t="s">
        <v>408</v>
      </c>
      <c r="EI5" s="368" t="s">
        <v>409</v>
      </c>
      <c r="EJ5" s="1197" t="s">
        <v>639</v>
      </c>
      <c r="EK5" s="1197"/>
      <c r="EL5" s="1197" t="s">
        <v>584</v>
      </c>
      <c r="EM5" s="1197"/>
      <c r="EN5" s="1197" t="s">
        <v>356</v>
      </c>
      <c r="EO5" s="1197" t="s">
        <v>463</v>
      </c>
      <c r="EP5" s="465"/>
      <c r="EQ5" s="465"/>
      <c r="ER5" s="1197" t="s">
        <v>584</v>
      </c>
      <c r="ES5" s="1197"/>
      <c r="ET5" s="1197" t="s">
        <v>356</v>
      </c>
      <c r="EU5" s="1197" t="s">
        <v>463</v>
      </c>
      <c r="EV5" s="1197" t="s">
        <v>639</v>
      </c>
      <c r="EW5" s="1197"/>
      <c r="EX5" s="1197" t="s">
        <v>584</v>
      </c>
      <c r="EY5" s="1197"/>
      <c r="EZ5" s="1197" t="s">
        <v>356</v>
      </c>
      <c r="FA5" s="1197" t="s">
        <v>463</v>
      </c>
      <c r="FB5" s="1197" t="s">
        <v>639</v>
      </c>
      <c r="FC5" s="1197"/>
      <c r="FD5" s="1197" t="s">
        <v>584</v>
      </c>
      <c r="FE5" s="1197"/>
      <c r="FF5" s="1197" t="s">
        <v>356</v>
      </c>
      <c r="FG5" s="1197" t="s">
        <v>463</v>
      </c>
      <c r="FH5" s="1197" t="s">
        <v>538</v>
      </c>
      <c r="FI5" s="1197"/>
      <c r="FJ5" s="1197" t="s">
        <v>628</v>
      </c>
      <c r="FK5" s="1197"/>
      <c r="FL5" s="1197" t="s">
        <v>418</v>
      </c>
      <c r="FM5" s="1197"/>
      <c r="FN5" s="1197" t="s">
        <v>538</v>
      </c>
      <c r="FO5" s="1197"/>
      <c r="FP5" s="1197" t="s">
        <v>628</v>
      </c>
      <c r="FQ5" s="1197"/>
      <c r="FR5" s="1197" t="s">
        <v>418</v>
      </c>
      <c r="FS5" s="1197"/>
      <c r="FT5" s="1197" t="s">
        <v>538</v>
      </c>
      <c r="FU5" s="1197"/>
      <c r="FV5" s="1197" t="s">
        <v>628</v>
      </c>
      <c r="FW5" s="1197"/>
      <c r="FX5" s="1197" t="s">
        <v>418</v>
      </c>
      <c r="FY5" s="1197"/>
      <c r="FZ5" s="1197" t="s">
        <v>538</v>
      </c>
      <c r="GA5" s="1197"/>
      <c r="GB5" s="1197" t="s">
        <v>628</v>
      </c>
      <c r="GC5" s="1197"/>
      <c r="GD5" s="1197" t="s">
        <v>418</v>
      </c>
      <c r="GE5" s="1197"/>
      <c r="GF5" s="1197" t="s">
        <v>538</v>
      </c>
      <c r="GG5" s="1197"/>
      <c r="GH5" s="1197" t="s">
        <v>628</v>
      </c>
      <c r="GI5" s="1197"/>
      <c r="GJ5" s="1197" t="s">
        <v>418</v>
      </c>
      <c r="GK5" s="1197"/>
      <c r="GL5" s="1197" t="s">
        <v>538</v>
      </c>
      <c r="GM5" s="1197"/>
      <c r="GN5" s="1197" t="s">
        <v>628</v>
      </c>
      <c r="GO5" s="1197"/>
      <c r="GP5" s="1197" t="s">
        <v>418</v>
      </c>
      <c r="GQ5" s="1197"/>
      <c r="GR5" s="1197" t="s">
        <v>538</v>
      </c>
      <c r="GS5" s="1197"/>
      <c r="GT5" s="1197" t="s">
        <v>628</v>
      </c>
      <c r="GU5" s="1197"/>
      <c r="GV5" s="1197" t="s">
        <v>418</v>
      </c>
      <c r="GW5" s="1197"/>
      <c r="GX5" s="1197" t="s">
        <v>538</v>
      </c>
      <c r="GY5" s="1197"/>
      <c r="GZ5" s="1197" t="s">
        <v>628</v>
      </c>
      <c r="HA5" s="1197"/>
      <c r="HB5" s="1197" t="s">
        <v>418</v>
      </c>
      <c r="HC5" s="1197"/>
      <c r="HD5" s="1197" t="s">
        <v>538</v>
      </c>
      <c r="HE5" s="1197"/>
      <c r="HF5" s="1197" t="s">
        <v>628</v>
      </c>
      <c r="HG5" s="1197"/>
      <c r="HH5" s="1197" t="s">
        <v>418</v>
      </c>
      <c r="HI5" s="1197"/>
      <c r="HJ5" s="1197" t="s">
        <v>538</v>
      </c>
      <c r="HK5" s="1197"/>
      <c r="HL5" s="1197" t="s">
        <v>628</v>
      </c>
      <c r="HM5" s="1197"/>
      <c r="HN5" s="1197" t="s">
        <v>418</v>
      </c>
      <c r="HO5" s="1197"/>
      <c r="HP5" s="1197" t="s">
        <v>538</v>
      </c>
      <c r="HQ5" s="1197"/>
      <c r="HR5" s="1197" t="s">
        <v>628</v>
      </c>
      <c r="HS5" s="1197"/>
      <c r="HT5" s="1197" t="s">
        <v>418</v>
      </c>
      <c r="HU5" s="1197"/>
      <c r="HV5" s="1197" t="s">
        <v>538</v>
      </c>
      <c r="HW5" s="1197"/>
      <c r="HX5" s="1197" t="s">
        <v>628</v>
      </c>
      <c r="HY5" s="1197"/>
      <c r="HZ5" s="1197" t="s">
        <v>418</v>
      </c>
      <c r="IA5" s="1197"/>
      <c r="IB5" s="1197" t="s">
        <v>538</v>
      </c>
      <c r="IC5" s="1197"/>
      <c r="ID5" s="1197" t="s">
        <v>628</v>
      </c>
      <c r="IE5" s="1197"/>
      <c r="IF5" s="1197" t="s">
        <v>418</v>
      </c>
      <c r="IG5" s="1197"/>
      <c r="IH5" s="1197" t="s">
        <v>538</v>
      </c>
      <c r="II5" s="1197"/>
      <c r="IJ5" s="1197" t="s">
        <v>628</v>
      </c>
      <c r="IK5" s="1197"/>
      <c r="IL5" s="1197" t="s">
        <v>418</v>
      </c>
      <c r="IM5" s="1197"/>
      <c r="IN5" s="1197" t="s">
        <v>538</v>
      </c>
      <c r="IO5" s="1197"/>
      <c r="IP5" s="1197" t="s">
        <v>628</v>
      </c>
      <c r="IQ5" s="1197"/>
      <c r="IR5" s="1197" t="s">
        <v>418</v>
      </c>
      <c r="IS5" s="1197"/>
      <c r="IT5" s="1197" t="s">
        <v>538</v>
      </c>
      <c r="IU5" s="1197"/>
      <c r="IV5" s="1197" t="s">
        <v>628</v>
      </c>
      <c r="IW5" s="1197"/>
      <c r="IX5" s="1197" t="s">
        <v>418</v>
      </c>
      <c r="IY5" s="1197"/>
      <c r="IZ5" s="470" t="s">
        <v>538</v>
      </c>
      <c r="JA5" s="470" t="s">
        <v>628</v>
      </c>
      <c r="JB5" s="470" t="s">
        <v>404</v>
      </c>
      <c r="JC5" s="319" t="s">
        <v>538</v>
      </c>
      <c r="JD5" s="319" t="s">
        <v>628</v>
      </c>
      <c r="JE5" s="319" t="s">
        <v>404</v>
      </c>
      <c r="JF5" s="449" t="s">
        <v>538</v>
      </c>
      <c r="JG5" s="449" t="s">
        <v>628</v>
      </c>
      <c r="JH5" s="316" t="s">
        <v>404</v>
      </c>
      <c r="JI5" s="449" t="s">
        <v>538</v>
      </c>
      <c r="JJ5" s="449" t="s">
        <v>628</v>
      </c>
      <c r="JK5" s="316" t="s">
        <v>404</v>
      </c>
      <c r="JL5" s="470" t="s">
        <v>538</v>
      </c>
      <c r="JM5" s="470" t="s">
        <v>628</v>
      </c>
      <c r="JN5" s="470" t="s">
        <v>404</v>
      </c>
      <c r="JO5" s="470" t="s">
        <v>538</v>
      </c>
      <c r="JP5" s="470" t="s">
        <v>628</v>
      </c>
      <c r="JQ5" s="470" t="s">
        <v>404</v>
      </c>
      <c r="JR5" s="449" t="s">
        <v>538</v>
      </c>
      <c r="JS5" s="449" t="s">
        <v>628</v>
      </c>
      <c r="JT5" s="316" t="s">
        <v>404</v>
      </c>
      <c r="JU5" s="449" t="s">
        <v>538</v>
      </c>
      <c r="JV5" s="449" t="s">
        <v>628</v>
      </c>
      <c r="JW5" s="414" t="s">
        <v>404</v>
      </c>
      <c r="JX5" s="459" t="s">
        <v>538</v>
      </c>
      <c r="JY5" s="459" t="s">
        <v>628</v>
      </c>
      <c r="JZ5" s="459" t="s">
        <v>404</v>
      </c>
      <c r="KA5" s="1197" t="s">
        <v>538</v>
      </c>
      <c r="KB5" s="1197"/>
      <c r="KC5" s="1197" t="s">
        <v>628</v>
      </c>
      <c r="KD5" s="1197"/>
      <c r="KE5" s="1197" t="s">
        <v>404</v>
      </c>
      <c r="KF5" s="1197"/>
    </row>
    <row r="6" spans="1:292" s="158" customFormat="1" ht="52.8" x14ac:dyDescent="0.25">
      <c r="A6" s="1197"/>
      <c r="B6" s="159" t="s">
        <v>144</v>
      </c>
      <c r="C6" s="159" t="s">
        <v>145</v>
      </c>
      <c r="D6" s="159" t="s">
        <v>146</v>
      </c>
      <c r="E6" s="159" t="s">
        <v>147</v>
      </c>
      <c r="F6" s="158" t="s">
        <v>148</v>
      </c>
      <c r="G6" s="159" t="s">
        <v>144</v>
      </c>
      <c r="H6" s="159" t="s">
        <v>145</v>
      </c>
      <c r="I6" s="159" t="s">
        <v>146</v>
      </c>
      <c r="J6" s="159" t="s">
        <v>147</v>
      </c>
      <c r="K6" s="158" t="s">
        <v>148</v>
      </c>
      <c r="L6" s="159" t="s">
        <v>145</v>
      </c>
      <c r="M6" s="159" t="s">
        <v>146</v>
      </c>
      <c r="N6" s="159" t="s">
        <v>147</v>
      </c>
      <c r="O6" s="158" t="s">
        <v>148</v>
      </c>
      <c r="P6" s="159" t="s">
        <v>145</v>
      </c>
      <c r="Q6" s="159" t="s">
        <v>146</v>
      </c>
      <c r="R6" s="159" t="s">
        <v>147</v>
      </c>
      <c r="S6" s="158" t="s">
        <v>148</v>
      </c>
      <c r="T6" s="159" t="s">
        <v>144</v>
      </c>
      <c r="U6" s="159" t="s">
        <v>145</v>
      </c>
      <c r="V6" s="159" t="s">
        <v>146</v>
      </c>
      <c r="W6" s="159" t="s">
        <v>147</v>
      </c>
      <c r="X6" s="158" t="s">
        <v>148</v>
      </c>
      <c r="Y6" s="159" t="s">
        <v>144</v>
      </c>
      <c r="Z6" s="159" t="s">
        <v>145</v>
      </c>
      <c r="AA6" s="159" t="s">
        <v>146</v>
      </c>
      <c r="AB6" s="159" t="s">
        <v>147</v>
      </c>
      <c r="AC6" s="158" t="s">
        <v>148</v>
      </c>
      <c r="AD6" s="1197"/>
      <c r="AE6" s="1197"/>
      <c r="AF6" s="1197"/>
      <c r="AG6" s="1199"/>
      <c r="AH6" s="1199"/>
      <c r="AI6" s="1199"/>
      <c r="AJ6" s="1199"/>
      <c r="AK6" s="1197"/>
      <c r="AL6" s="1197"/>
      <c r="AM6" s="1197"/>
      <c r="AN6" s="436" t="s">
        <v>144</v>
      </c>
      <c r="AO6" s="436" t="s">
        <v>145</v>
      </c>
      <c r="AP6" s="436" t="s">
        <v>146</v>
      </c>
      <c r="AQ6" s="436" t="s">
        <v>147</v>
      </c>
      <c r="AR6" s="435" t="s">
        <v>148</v>
      </c>
      <c r="AS6" s="436" t="s">
        <v>144</v>
      </c>
      <c r="AT6" s="436" t="s">
        <v>145</v>
      </c>
      <c r="AU6" s="436" t="s">
        <v>146</v>
      </c>
      <c r="AV6" s="436" t="s">
        <v>147</v>
      </c>
      <c r="AW6" s="435" t="s">
        <v>148</v>
      </c>
      <c r="AX6" s="159" t="s">
        <v>144</v>
      </c>
      <c r="AY6" s="159" t="s">
        <v>145</v>
      </c>
      <c r="AZ6" s="159" t="s">
        <v>146</v>
      </c>
      <c r="BA6" s="159" t="s">
        <v>147</v>
      </c>
      <c r="BB6" s="160" t="s">
        <v>149</v>
      </c>
      <c r="BC6" s="158" t="s">
        <v>148</v>
      </c>
      <c r="BD6" s="159" t="s">
        <v>144</v>
      </c>
      <c r="BE6" s="159" t="s">
        <v>145</v>
      </c>
      <c r="BF6" s="159" t="s">
        <v>146</v>
      </c>
      <c r="BG6" s="159" t="s">
        <v>147</v>
      </c>
      <c r="BH6" s="160" t="s">
        <v>149</v>
      </c>
      <c r="BI6" s="158" t="s">
        <v>148</v>
      </c>
      <c r="BJ6" s="1197"/>
      <c r="BK6" s="1197"/>
      <c r="BL6" s="1197"/>
      <c r="BM6" s="159" t="s">
        <v>144</v>
      </c>
      <c r="BN6" s="159" t="s">
        <v>145</v>
      </c>
      <c r="BO6" s="159" t="s">
        <v>146</v>
      </c>
      <c r="BP6" s="159" t="s">
        <v>147</v>
      </c>
      <c r="BQ6" s="158" t="s">
        <v>148</v>
      </c>
      <c r="BR6" s="318" t="s">
        <v>411</v>
      </c>
      <c r="BS6" s="159" t="s">
        <v>144</v>
      </c>
      <c r="BT6" s="159" t="s">
        <v>145</v>
      </c>
      <c r="BU6" s="159" t="s">
        <v>146</v>
      </c>
      <c r="BV6" s="159" t="s">
        <v>147</v>
      </c>
      <c r="BW6" s="158" t="s">
        <v>148</v>
      </c>
      <c r="BX6" s="368" t="s">
        <v>411</v>
      </c>
      <c r="BY6" s="1197"/>
      <c r="BZ6" s="159" t="s">
        <v>150</v>
      </c>
      <c r="CA6" s="158" t="s">
        <v>148</v>
      </c>
      <c r="CB6" s="159" t="s">
        <v>150</v>
      </c>
      <c r="CC6" s="158" t="s">
        <v>148</v>
      </c>
      <c r="CD6" s="1197"/>
      <c r="CE6" s="1197"/>
      <c r="CF6" s="159" t="s">
        <v>150</v>
      </c>
      <c r="CG6" s="158" t="s">
        <v>148</v>
      </c>
      <c r="CH6" s="265" t="s">
        <v>150</v>
      </c>
      <c r="CI6" s="158" t="s">
        <v>148</v>
      </c>
      <c r="CJ6" s="1197"/>
      <c r="CK6" s="159" t="s">
        <v>150</v>
      </c>
      <c r="CL6" s="158" t="s">
        <v>148</v>
      </c>
      <c r="CM6" s="265" t="s">
        <v>150</v>
      </c>
      <c r="CN6" s="264" t="s">
        <v>148</v>
      </c>
      <c r="CO6" s="159" t="s">
        <v>150</v>
      </c>
      <c r="CP6" s="158" t="s">
        <v>148</v>
      </c>
      <c r="CQ6" s="1197"/>
      <c r="CR6" s="1197"/>
      <c r="CS6" s="1197"/>
      <c r="CT6" s="1197"/>
      <c r="CU6" s="159" t="s">
        <v>150</v>
      </c>
      <c r="CV6" s="158" t="s">
        <v>148</v>
      </c>
      <c r="CW6" s="159" t="s">
        <v>150</v>
      </c>
      <c r="CX6" s="158" t="s">
        <v>148</v>
      </c>
      <c r="CY6" s="1197"/>
      <c r="CZ6" s="1197"/>
      <c r="DA6" s="1197"/>
      <c r="DB6" s="1197"/>
      <c r="DC6" s="1197"/>
      <c r="DD6" s="1197"/>
      <c r="DE6" s="1197"/>
      <c r="DF6" s="1197"/>
      <c r="DG6" s="1197"/>
      <c r="DH6" s="1197"/>
      <c r="DI6" s="1197"/>
      <c r="DJ6" s="1197"/>
      <c r="DK6" s="1197"/>
      <c r="DL6" s="159" t="s">
        <v>144</v>
      </c>
      <c r="DM6" s="159" t="s">
        <v>145</v>
      </c>
      <c r="DN6" s="159" t="s">
        <v>146</v>
      </c>
      <c r="DO6" s="159" t="s">
        <v>147</v>
      </c>
      <c r="DP6" s="158" t="s">
        <v>148</v>
      </c>
      <c r="DQ6" s="159" t="s">
        <v>144</v>
      </c>
      <c r="DR6" s="159" t="s">
        <v>145</v>
      </c>
      <c r="DS6" s="159" t="s">
        <v>146</v>
      </c>
      <c r="DT6" s="159" t="s">
        <v>147</v>
      </c>
      <c r="DU6" s="158" t="s">
        <v>148</v>
      </c>
      <c r="DV6" s="158" t="s">
        <v>138</v>
      </c>
      <c r="DW6" s="158" t="s">
        <v>139</v>
      </c>
      <c r="DX6" s="158" t="s">
        <v>140</v>
      </c>
      <c r="DY6" s="159" t="s">
        <v>151</v>
      </c>
      <c r="DZ6" s="158" t="s">
        <v>148</v>
      </c>
      <c r="EA6" s="318" t="s">
        <v>410</v>
      </c>
      <c r="EB6" s="318" t="s">
        <v>410</v>
      </c>
      <c r="EC6" s="318" t="s">
        <v>410</v>
      </c>
      <c r="ED6" s="318" t="s">
        <v>410</v>
      </c>
      <c r="EE6" s="159" t="s">
        <v>151</v>
      </c>
      <c r="EF6" s="158" t="s">
        <v>148</v>
      </c>
      <c r="EG6" s="368" t="s">
        <v>185</v>
      </c>
      <c r="EH6" s="368" t="s">
        <v>185</v>
      </c>
      <c r="EI6" s="368" t="s">
        <v>185</v>
      </c>
      <c r="EJ6" s="265" t="s">
        <v>426</v>
      </c>
      <c r="EK6" s="329" t="s">
        <v>148</v>
      </c>
      <c r="EL6" s="328" t="s">
        <v>390</v>
      </c>
      <c r="EM6" s="329" t="s">
        <v>139</v>
      </c>
      <c r="EN6" s="1197"/>
      <c r="EO6" s="1197"/>
      <c r="EP6" s="465"/>
      <c r="EQ6" s="465"/>
      <c r="ER6" s="464" t="s">
        <v>390</v>
      </c>
      <c r="ES6" s="465" t="s">
        <v>139</v>
      </c>
      <c r="ET6" s="1197"/>
      <c r="EU6" s="1197"/>
      <c r="EV6" s="265" t="s">
        <v>151</v>
      </c>
      <c r="EW6" s="264" t="s">
        <v>148</v>
      </c>
      <c r="EX6" s="310" t="s">
        <v>390</v>
      </c>
      <c r="EY6" s="264" t="s">
        <v>139</v>
      </c>
      <c r="EZ6" s="1197"/>
      <c r="FA6" s="1197"/>
      <c r="FB6" s="265" t="s">
        <v>151</v>
      </c>
      <c r="FC6" s="409" t="s">
        <v>148</v>
      </c>
      <c r="FD6" s="408" t="s">
        <v>390</v>
      </c>
      <c r="FE6" s="409" t="s">
        <v>139</v>
      </c>
      <c r="FF6" s="1197"/>
      <c r="FG6" s="1197"/>
      <c r="FH6" s="296" t="s">
        <v>325</v>
      </c>
      <c r="FI6" s="296" t="s">
        <v>326</v>
      </c>
      <c r="FJ6" s="296" t="s">
        <v>325</v>
      </c>
      <c r="FK6" s="296" t="s">
        <v>326</v>
      </c>
      <c r="FL6" s="296" t="s">
        <v>325</v>
      </c>
      <c r="FM6" s="296" t="s">
        <v>326</v>
      </c>
      <c r="FN6" s="296" t="s">
        <v>325</v>
      </c>
      <c r="FO6" s="296" t="s">
        <v>326</v>
      </c>
      <c r="FP6" s="296" t="s">
        <v>325</v>
      </c>
      <c r="FQ6" s="296" t="s">
        <v>326</v>
      </c>
      <c r="FR6" s="296" t="s">
        <v>325</v>
      </c>
      <c r="FS6" s="296" t="s">
        <v>326</v>
      </c>
      <c r="FT6" s="299" t="s">
        <v>325</v>
      </c>
      <c r="FU6" s="299" t="s">
        <v>326</v>
      </c>
      <c r="FV6" s="299" t="s">
        <v>325</v>
      </c>
      <c r="FW6" s="299" t="s">
        <v>326</v>
      </c>
      <c r="FX6" s="299" t="s">
        <v>325</v>
      </c>
      <c r="FY6" s="299" t="s">
        <v>326</v>
      </c>
      <c r="FZ6" s="319" t="s">
        <v>325</v>
      </c>
      <c r="GA6" s="319" t="s">
        <v>326</v>
      </c>
      <c r="GB6" s="319" t="s">
        <v>325</v>
      </c>
      <c r="GC6" s="319" t="s">
        <v>326</v>
      </c>
      <c r="GD6" s="319" t="s">
        <v>325</v>
      </c>
      <c r="GE6" s="319" t="s">
        <v>326</v>
      </c>
      <c r="GF6" s="470" t="s">
        <v>325</v>
      </c>
      <c r="GG6" s="470" t="s">
        <v>326</v>
      </c>
      <c r="GH6" s="470" t="s">
        <v>325</v>
      </c>
      <c r="GI6" s="470" t="s">
        <v>326</v>
      </c>
      <c r="GJ6" s="470" t="s">
        <v>325</v>
      </c>
      <c r="GK6" s="470" t="s">
        <v>326</v>
      </c>
      <c r="GL6" s="319" t="s">
        <v>325</v>
      </c>
      <c r="GM6" s="319" t="s">
        <v>326</v>
      </c>
      <c r="GN6" s="319" t="s">
        <v>325</v>
      </c>
      <c r="GO6" s="319" t="s">
        <v>326</v>
      </c>
      <c r="GP6" s="319" t="s">
        <v>325</v>
      </c>
      <c r="GQ6" s="319" t="s">
        <v>326</v>
      </c>
      <c r="GR6" s="319" t="s">
        <v>325</v>
      </c>
      <c r="GS6" s="319" t="s">
        <v>326</v>
      </c>
      <c r="GT6" s="319" t="s">
        <v>325</v>
      </c>
      <c r="GU6" s="319" t="s">
        <v>326</v>
      </c>
      <c r="GV6" s="319" t="s">
        <v>325</v>
      </c>
      <c r="GW6" s="319" t="s">
        <v>326</v>
      </c>
      <c r="GX6" s="319" t="s">
        <v>325</v>
      </c>
      <c r="GY6" s="319" t="s">
        <v>326</v>
      </c>
      <c r="GZ6" s="319" t="s">
        <v>325</v>
      </c>
      <c r="HA6" s="319" t="s">
        <v>326</v>
      </c>
      <c r="HB6" s="319" t="s">
        <v>325</v>
      </c>
      <c r="HC6" s="319" t="s">
        <v>326</v>
      </c>
      <c r="HD6" s="299" t="s">
        <v>325</v>
      </c>
      <c r="HE6" s="299" t="s">
        <v>326</v>
      </c>
      <c r="HF6" s="299" t="s">
        <v>325</v>
      </c>
      <c r="HG6" s="299" t="s">
        <v>326</v>
      </c>
      <c r="HH6" s="299" t="s">
        <v>325</v>
      </c>
      <c r="HI6" s="299" t="s">
        <v>326</v>
      </c>
      <c r="HJ6" s="319" t="s">
        <v>325</v>
      </c>
      <c r="HK6" s="319" t="s">
        <v>326</v>
      </c>
      <c r="HL6" s="319" t="s">
        <v>325</v>
      </c>
      <c r="HM6" s="319" t="s">
        <v>326</v>
      </c>
      <c r="HN6" s="319" t="s">
        <v>325</v>
      </c>
      <c r="HO6" s="319" t="s">
        <v>326</v>
      </c>
      <c r="HP6" s="319" t="s">
        <v>325</v>
      </c>
      <c r="HQ6" s="319" t="s">
        <v>326</v>
      </c>
      <c r="HR6" s="319" t="s">
        <v>325</v>
      </c>
      <c r="HS6" s="319" t="s">
        <v>326</v>
      </c>
      <c r="HT6" s="319" t="s">
        <v>325</v>
      </c>
      <c r="HU6" s="319" t="s">
        <v>326</v>
      </c>
      <c r="HV6" s="299" t="s">
        <v>325</v>
      </c>
      <c r="HW6" s="299" t="s">
        <v>326</v>
      </c>
      <c r="HX6" s="299" t="s">
        <v>325</v>
      </c>
      <c r="HY6" s="299" t="s">
        <v>326</v>
      </c>
      <c r="HZ6" s="299" t="s">
        <v>325</v>
      </c>
      <c r="IA6" s="299" t="s">
        <v>326</v>
      </c>
      <c r="IB6" s="406" t="s">
        <v>325</v>
      </c>
      <c r="IC6" s="406" t="s">
        <v>326</v>
      </c>
      <c r="ID6" s="406" t="s">
        <v>325</v>
      </c>
      <c r="IE6" s="406" t="s">
        <v>326</v>
      </c>
      <c r="IF6" s="406" t="s">
        <v>325</v>
      </c>
      <c r="IG6" s="406" t="s">
        <v>326</v>
      </c>
      <c r="IH6" s="497" t="s">
        <v>325</v>
      </c>
      <c r="II6" s="497" t="s">
        <v>326</v>
      </c>
      <c r="IJ6" s="497" t="s">
        <v>325</v>
      </c>
      <c r="IK6" s="497" t="s">
        <v>326</v>
      </c>
      <c r="IL6" s="497" t="s">
        <v>325</v>
      </c>
      <c r="IM6" s="497" t="s">
        <v>326</v>
      </c>
      <c r="IN6" s="497" t="s">
        <v>325</v>
      </c>
      <c r="IO6" s="497" t="s">
        <v>326</v>
      </c>
      <c r="IP6" s="497" t="s">
        <v>325</v>
      </c>
      <c r="IQ6" s="497" t="s">
        <v>326</v>
      </c>
      <c r="IR6" s="497" t="s">
        <v>325</v>
      </c>
      <c r="IS6" s="497" t="s">
        <v>326</v>
      </c>
      <c r="IT6" s="246" t="s">
        <v>325</v>
      </c>
      <c r="IU6" s="246" t="s">
        <v>326</v>
      </c>
      <c r="IV6" s="246" t="s">
        <v>325</v>
      </c>
      <c r="IW6" s="246" t="s">
        <v>326</v>
      </c>
      <c r="IX6" s="268" t="s">
        <v>325</v>
      </c>
      <c r="IY6" s="268" t="s">
        <v>326</v>
      </c>
      <c r="IZ6" s="470" t="s">
        <v>326</v>
      </c>
      <c r="JA6" s="470" t="s">
        <v>326</v>
      </c>
      <c r="JB6" s="470" t="s">
        <v>326</v>
      </c>
      <c r="JC6" s="319" t="s">
        <v>326</v>
      </c>
      <c r="JD6" s="319" t="s">
        <v>326</v>
      </c>
      <c r="JE6" s="319" t="s">
        <v>326</v>
      </c>
      <c r="JF6" s="316" t="s">
        <v>326</v>
      </c>
      <c r="JG6" s="316" t="s">
        <v>326</v>
      </c>
      <c r="JH6" s="316" t="s">
        <v>326</v>
      </c>
      <c r="JI6" s="316" t="s">
        <v>326</v>
      </c>
      <c r="JJ6" s="316" t="s">
        <v>326</v>
      </c>
      <c r="JK6" s="316" t="s">
        <v>326</v>
      </c>
      <c r="JL6" s="470" t="s">
        <v>326</v>
      </c>
      <c r="JM6" s="470" t="s">
        <v>326</v>
      </c>
      <c r="JN6" s="470" t="s">
        <v>326</v>
      </c>
      <c r="JO6" s="470" t="s">
        <v>326</v>
      </c>
      <c r="JP6" s="470" t="s">
        <v>326</v>
      </c>
      <c r="JQ6" s="470" t="s">
        <v>326</v>
      </c>
      <c r="JR6" s="316" t="s">
        <v>326</v>
      </c>
      <c r="JS6" s="316" t="s">
        <v>326</v>
      </c>
      <c r="JT6" s="316" t="s">
        <v>326</v>
      </c>
      <c r="JU6" s="414" t="s">
        <v>326</v>
      </c>
      <c r="JV6" s="414" t="s">
        <v>326</v>
      </c>
      <c r="JW6" s="414" t="s">
        <v>326</v>
      </c>
      <c r="JX6" s="459" t="s">
        <v>326</v>
      </c>
      <c r="JY6" s="459" t="s">
        <v>326</v>
      </c>
      <c r="JZ6" s="459" t="s">
        <v>326</v>
      </c>
      <c r="KA6" s="471" t="s">
        <v>186</v>
      </c>
      <c r="KB6" s="471" t="s">
        <v>326</v>
      </c>
      <c r="KC6" s="471" t="s">
        <v>186</v>
      </c>
      <c r="KD6" s="471" t="s">
        <v>326</v>
      </c>
      <c r="KE6" s="471" t="s">
        <v>186</v>
      </c>
      <c r="KF6" s="471" t="s">
        <v>326</v>
      </c>
    </row>
    <row r="7" spans="1:292" s="294" customFormat="1" x14ac:dyDescent="0.25">
      <c r="B7" s="265"/>
      <c r="C7" s="265"/>
      <c r="D7" s="265"/>
      <c r="E7" s="265"/>
      <c r="G7" s="265"/>
      <c r="H7" s="265"/>
      <c r="I7" s="265"/>
      <c r="J7" s="265"/>
      <c r="L7" s="265"/>
      <c r="M7" s="265"/>
      <c r="N7" s="265"/>
      <c r="P7" s="265"/>
      <c r="Q7" s="265"/>
      <c r="R7" s="265"/>
      <c r="T7" s="265"/>
      <c r="U7" s="265"/>
      <c r="V7" s="265"/>
      <c r="W7" s="265"/>
      <c r="Y7" s="265"/>
      <c r="Z7" s="265"/>
      <c r="AA7" s="265"/>
      <c r="AB7" s="265"/>
      <c r="AG7" s="295"/>
      <c r="AH7" s="295"/>
      <c r="AI7" s="295"/>
      <c r="AJ7" s="295"/>
      <c r="AN7" s="436"/>
      <c r="AO7" s="436"/>
      <c r="AP7" s="436"/>
      <c r="AQ7" s="436"/>
      <c r="AR7" s="435"/>
      <c r="AS7" s="436"/>
      <c r="AT7" s="436"/>
      <c r="AU7" s="436"/>
      <c r="AV7" s="436"/>
      <c r="AW7" s="435"/>
      <c r="AX7" s="265"/>
      <c r="AY7" s="265"/>
      <c r="AZ7" s="265"/>
      <c r="BA7" s="265"/>
      <c r="BB7" s="295"/>
      <c r="BD7" s="265"/>
      <c r="BE7" s="265"/>
      <c r="BF7" s="265"/>
      <c r="BG7" s="265"/>
      <c r="BH7" s="295"/>
      <c r="BM7" s="265"/>
      <c r="BN7" s="265"/>
      <c r="BO7" s="265"/>
      <c r="BP7" s="265"/>
      <c r="BR7" s="318"/>
      <c r="BS7" s="265"/>
      <c r="BT7" s="265"/>
      <c r="BU7" s="265"/>
      <c r="BV7" s="265"/>
      <c r="BX7" s="368"/>
      <c r="BY7" s="355"/>
      <c r="BZ7" s="265"/>
      <c r="CB7" s="265"/>
      <c r="CE7" s="355"/>
      <c r="CF7" s="265"/>
      <c r="CH7" s="265"/>
      <c r="CK7" s="265"/>
      <c r="CM7" s="265"/>
      <c r="CO7" s="265"/>
      <c r="CT7" s="355"/>
      <c r="CU7" s="265"/>
      <c r="CW7" s="265"/>
      <c r="CZ7" s="355"/>
      <c r="DL7" s="265"/>
      <c r="DM7" s="265"/>
      <c r="DN7" s="265"/>
      <c r="DO7" s="265"/>
      <c r="DQ7" s="265"/>
      <c r="DR7" s="265"/>
      <c r="DS7" s="265"/>
      <c r="DT7" s="265"/>
      <c r="DY7" s="265"/>
      <c r="EA7" s="318"/>
      <c r="EB7" s="318"/>
      <c r="EC7" s="318"/>
      <c r="ED7" s="318"/>
      <c r="EE7" s="265"/>
      <c r="EG7" s="368"/>
      <c r="EH7" s="368"/>
      <c r="EI7" s="368"/>
      <c r="EJ7" s="265"/>
      <c r="EK7" s="329"/>
      <c r="EL7" s="329"/>
      <c r="EM7" s="329"/>
      <c r="EN7" s="329"/>
      <c r="EO7" s="400"/>
      <c r="EP7" s="465"/>
      <c r="EQ7" s="465"/>
      <c r="ER7" s="465"/>
      <c r="ES7" s="465"/>
      <c r="ET7" s="465"/>
      <c r="EU7" s="465"/>
      <c r="EV7" s="265"/>
      <c r="EX7" s="310"/>
      <c r="FA7" s="400"/>
      <c r="FB7" s="265"/>
      <c r="FC7" s="409"/>
      <c r="FD7" s="409"/>
      <c r="FE7" s="409"/>
      <c r="FF7" s="409"/>
      <c r="FG7" s="409"/>
      <c r="FZ7" s="319"/>
      <c r="GA7" s="319"/>
      <c r="GB7" s="319"/>
      <c r="GC7" s="319"/>
      <c r="GD7" s="319"/>
      <c r="GE7" s="319"/>
      <c r="GF7" s="470"/>
      <c r="GG7" s="470"/>
      <c r="GH7" s="470"/>
      <c r="GI7" s="470"/>
      <c r="GJ7" s="470"/>
      <c r="GK7" s="470"/>
      <c r="GL7" s="319"/>
      <c r="GM7" s="319"/>
      <c r="GN7" s="319"/>
      <c r="GO7" s="319"/>
      <c r="GP7" s="319"/>
      <c r="GQ7" s="319"/>
      <c r="GR7" s="319"/>
      <c r="GS7" s="319"/>
      <c r="GT7" s="319"/>
      <c r="GU7" s="319"/>
      <c r="GV7" s="319"/>
      <c r="GW7" s="319"/>
      <c r="GX7" s="319"/>
      <c r="GY7" s="319"/>
      <c r="GZ7" s="319"/>
      <c r="HA7" s="319"/>
      <c r="HB7" s="319"/>
      <c r="HC7" s="319"/>
      <c r="HJ7" s="319"/>
      <c r="HK7" s="319"/>
      <c r="HL7" s="319"/>
      <c r="HM7" s="319"/>
      <c r="HN7" s="319"/>
      <c r="HO7" s="319"/>
      <c r="HP7" s="319"/>
      <c r="HQ7" s="319"/>
      <c r="HR7" s="319"/>
      <c r="HS7" s="319"/>
      <c r="HT7" s="319"/>
      <c r="HU7" s="319"/>
      <c r="IB7" s="406"/>
      <c r="IC7" s="406"/>
      <c r="ID7" s="406"/>
      <c r="IE7" s="406"/>
      <c r="IF7" s="406"/>
      <c r="IG7" s="406"/>
      <c r="IH7" s="497"/>
      <c r="II7" s="497"/>
      <c r="IJ7" s="497"/>
      <c r="IK7" s="497"/>
      <c r="IL7" s="497"/>
      <c r="IM7" s="497"/>
      <c r="IN7" s="497"/>
      <c r="IO7" s="497"/>
      <c r="IP7" s="497"/>
      <c r="IQ7" s="497"/>
      <c r="IR7" s="497"/>
      <c r="IS7" s="497"/>
      <c r="IZ7" s="470"/>
      <c r="JA7" s="470"/>
      <c r="JB7" s="470"/>
      <c r="JC7" s="319"/>
      <c r="JD7" s="319"/>
      <c r="JE7" s="319"/>
      <c r="JL7" s="470"/>
      <c r="JM7" s="470"/>
      <c r="JN7" s="470"/>
      <c r="JO7" s="470"/>
      <c r="JP7" s="470"/>
      <c r="JQ7" s="470"/>
      <c r="JU7" s="414"/>
      <c r="JV7" s="414"/>
      <c r="JW7" s="414"/>
      <c r="JX7" s="459"/>
      <c r="JY7" s="459"/>
      <c r="JZ7" s="459"/>
      <c r="KB7" s="470"/>
      <c r="KD7" s="470"/>
    </row>
    <row r="8" spans="1:292" s="171" customFormat="1" x14ac:dyDescent="0.25">
      <c r="A8" s="169" t="s">
        <v>152</v>
      </c>
      <c r="B8" s="170">
        <v>0</v>
      </c>
      <c r="C8" s="170">
        <v>2063177.0197600001</v>
      </c>
      <c r="D8" s="170">
        <v>163279.36069999999</v>
      </c>
      <c r="E8" s="170">
        <v>120339.83354000001</v>
      </c>
      <c r="F8" s="171">
        <f>(B8+C8+D8+E8)</f>
        <v>2346796.2140000002</v>
      </c>
      <c r="G8" s="170">
        <v>0</v>
      </c>
      <c r="H8" s="170">
        <v>2048182.5909299999</v>
      </c>
      <c r="I8" s="170">
        <v>176033.90640000001</v>
      </c>
      <c r="J8" s="170">
        <v>123074.39301</v>
      </c>
      <c r="K8" s="171">
        <f>(G8+H8+I8+J8)</f>
        <v>2347290.8903400004</v>
      </c>
      <c r="L8" s="170">
        <v>149211.43416999999</v>
      </c>
      <c r="M8" s="170">
        <v>10495.74128</v>
      </c>
      <c r="N8" s="170">
        <v>4894.1814299999996</v>
      </c>
      <c r="O8" s="171">
        <f>(L8+M8+N8)</f>
        <v>164601.35687999998</v>
      </c>
      <c r="P8" s="170">
        <v>147119.75231000001</v>
      </c>
      <c r="Q8" s="170">
        <v>10495.74128</v>
      </c>
      <c r="R8" s="170">
        <v>4894.1814299999996</v>
      </c>
      <c r="S8" s="171">
        <f>(P8+Q8+R8)</f>
        <v>162509.67502</v>
      </c>
      <c r="T8" s="170">
        <v>0</v>
      </c>
      <c r="U8" s="170">
        <v>2105161.9452200001</v>
      </c>
      <c r="V8" s="170">
        <v>182917.15508999999</v>
      </c>
      <c r="W8" s="170">
        <v>126334.44136</v>
      </c>
      <c r="X8" s="171">
        <f>(T8+U8+V8+W8)</f>
        <v>2414413.5416700002</v>
      </c>
      <c r="Y8" s="170">
        <v>0</v>
      </c>
      <c r="Z8" s="170">
        <v>2081353.8572199999</v>
      </c>
      <c r="AA8" s="170">
        <v>177359.2782</v>
      </c>
      <c r="AB8" s="170">
        <v>119841.44293999999</v>
      </c>
      <c r="AC8" s="171">
        <f>(Y8+Z8+AA8+AB8)</f>
        <v>2378554.5783599997</v>
      </c>
      <c r="AD8" s="171">
        <f>F8-O8</f>
        <v>2182194.8571200003</v>
      </c>
      <c r="AE8" s="171">
        <f t="shared" ref="AE8:AE33" si="0">K8-S8</f>
        <v>2184781.2153200004</v>
      </c>
      <c r="AF8" s="171">
        <f>AE8/AD8%</f>
        <v>100.11852095570482</v>
      </c>
      <c r="AG8" s="172">
        <v>2182188</v>
      </c>
      <c r="AH8" s="172">
        <f>AG8-AD8</f>
        <v>-6.8571200002916157</v>
      </c>
      <c r="AI8" s="172">
        <v>2184781</v>
      </c>
      <c r="AJ8" s="172">
        <f>AI8-AE8</f>
        <v>-0.21532000042498112</v>
      </c>
      <c r="AK8" s="171">
        <f t="shared" ref="AK8:AK33" si="1">X8-O8</f>
        <v>2249812.1847900003</v>
      </c>
      <c r="AL8" s="171">
        <f t="shared" ref="AL8:AL33" si="2">AC8-S8</f>
        <v>2216044.9033399997</v>
      </c>
      <c r="AM8" s="171">
        <f>AL8/AK8%</f>
        <v>98.499106650844624</v>
      </c>
      <c r="AN8" s="173">
        <v>0</v>
      </c>
      <c r="AO8" s="173">
        <v>-47692.522010000001</v>
      </c>
      <c r="AP8" s="173">
        <v>-19637.794389999999</v>
      </c>
      <c r="AQ8" s="173">
        <v>-5431.4759100000001</v>
      </c>
      <c r="AR8" s="171">
        <f>AN8+AO8+AP8+AQ8</f>
        <v>-72761.79230999999</v>
      </c>
      <c r="AS8" s="173">
        <v>0</v>
      </c>
      <c r="AT8" s="173">
        <v>-33171.26629</v>
      </c>
      <c r="AU8" s="173">
        <v>-1325.3717999999999</v>
      </c>
      <c r="AV8" s="173">
        <v>3232.9500699999999</v>
      </c>
      <c r="AW8" s="171">
        <f>AS8+AT8+AU8+AV8</f>
        <v>-31263.688020000001</v>
      </c>
      <c r="AX8" s="170">
        <v>0</v>
      </c>
      <c r="AY8" s="170">
        <v>1716559.8131500001</v>
      </c>
      <c r="AZ8" s="170">
        <v>55648.841970000001</v>
      </c>
      <c r="BA8" s="170">
        <v>93562.592199999999</v>
      </c>
      <c r="BB8" s="312">
        <f>L8-((AZ8+BA8))</f>
        <v>0</v>
      </c>
      <c r="BC8" s="171">
        <f>(AX8+AY8+AZ8+BA8)</f>
        <v>1865771.2473200001</v>
      </c>
      <c r="BD8" s="170">
        <v>0</v>
      </c>
      <c r="BE8" s="170">
        <v>1700410.3024200001</v>
      </c>
      <c r="BF8" s="170">
        <v>55648.841970000001</v>
      </c>
      <c r="BG8" s="170">
        <v>91470.910340000002</v>
      </c>
      <c r="BH8" s="312">
        <f t="shared" ref="BH8:BH33" si="3">P8-((BF8+BG8))</f>
        <v>0</v>
      </c>
      <c r="BI8" s="171">
        <f>(BD8+BE8+BF8+BG8)</f>
        <v>1847530.05473</v>
      </c>
      <c r="BJ8" s="171">
        <f t="shared" ref="BJ8:BJ33" si="4">BC8-O8</f>
        <v>1701169.8904400002</v>
      </c>
      <c r="BK8" s="171">
        <f t="shared" ref="BK8:BK33" si="5">BI8-S8</f>
        <v>1685020.37971</v>
      </c>
      <c r="BL8" s="171">
        <f>BK8/BJ8%</f>
        <v>99.050682073509819</v>
      </c>
      <c r="BM8" s="170">
        <v>0</v>
      </c>
      <c r="BN8" s="170">
        <v>346620.07101000001</v>
      </c>
      <c r="BO8" s="170">
        <v>107630.51873</v>
      </c>
      <c r="BP8" s="170">
        <v>26046.54134</v>
      </c>
      <c r="BQ8" s="171">
        <f>(BM8+BN8+BO8+BP8)</f>
        <v>480297.13108000002</v>
      </c>
      <c r="BR8" s="171">
        <f t="shared" ref="BR8:BR33" si="6">BQ8-ED8</f>
        <v>480297.13108000002</v>
      </c>
      <c r="BS8" s="170">
        <v>0</v>
      </c>
      <c r="BT8" s="170">
        <v>349052.21421000001</v>
      </c>
      <c r="BU8" s="170">
        <v>121073.60443000001</v>
      </c>
      <c r="BV8" s="170">
        <v>30872.782670000001</v>
      </c>
      <c r="BW8" s="171">
        <f>(BS8+BT8+BU8+BV8)</f>
        <v>500998.60131</v>
      </c>
      <c r="BX8" s="171">
        <f t="shared" ref="BX8:BX33" si="7">BW8-EI8</f>
        <v>500998.60131</v>
      </c>
      <c r="BY8" s="171">
        <v>39554.004399999998</v>
      </c>
      <c r="BZ8" s="173">
        <v>41382.336779999998</v>
      </c>
      <c r="CA8" s="171">
        <f>(BZ8)</f>
        <v>41382.336779999998</v>
      </c>
      <c r="CB8" s="173">
        <v>32837.465790000002</v>
      </c>
      <c r="CC8" s="171">
        <f>(CB8)</f>
        <v>32837.465790000002</v>
      </c>
      <c r="CD8" s="171">
        <f t="shared" ref="CD8:CD33" si="8">CC8/CA8%</f>
        <v>79.351405321968883</v>
      </c>
      <c r="CE8" s="171">
        <f>CC8/BY8%-100</f>
        <v>-16.98067923054586</v>
      </c>
      <c r="CF8" s="173">
        <v>6969.8741600000003</v>
      </c>
      <c r="CG8" s="171">
        <f>(CF8)</f>
        <v>6969.8741600000003</v>
      </c>
      <c r="CH8" s="269">
        <v>12058.794809999999</v>
      </c>
      <c r="CI8" s="171">
        <f>(CH8)</f>
        <v>12058.794809999999</v>
      </c>
      <c r="CJ8" s="171">
        <f t="shared" ref="CJ8:CJ32" si="9">CI8/CG8%</f>
        <v>173.01309224785197</v>
      </c>
      <c r="CK8" s="173">
        <v>42173</v>
      </c>
      <c r="CL8" s="171">
        <f>(CK8)</f>
        <v>42173</v>
      </c>
      <c r="CM8" s="173">
        <v>48905.570849999996</v>
      </c>
      <c r="CN8" s="171">
        <f>CM8</f>
        <v>48905.570849999996</v>
      </c>
      <c r="CO8" s="173">
        <v>47030.338009999999</v>
      </c>
      <c r="CP8" s="171">
        <f>CO8</f>
        <v>47030.338009999999</v>
      </c>
      <c r="CQ8" s="171">
        <f t="shared" ref="CQ8:CQ33" si="10">CP8/CL8%</f>
        <v>111.51764875631328</v>
      </c>
      <c r="CR8" s="171">
        <f>CP8-CN8</f>
        <v>-1875.2328399999969</v>
      </c>
      <c r="CS8" s="171">
        <f>CP8/CN8%-100</f>
        <v>-3.8343951566409231</v>
      </c>
      <c r="CT8" s="171">
        <v>50526.199630000003</v>
      </c>
      <c r="CU8" s="173">
        <v>42429.916010000001</v>
      </c>
      <c r="CV8" s="171">
        <f>(CU8)</f>
        <v>42429.916010000001</v>
      </c>
      <c r="CW8" s="173">
        <v>45424.186679999999</v>
      </c>
      <c r="CX8" s="171">
        <f>(CW8)</f>
        <v>45424.186679999999</v>
      </c>
      <c r="CY8" s="171">
        <f t="shared" ref="CY8:CY33" si="11">CX8/CV8%</f>
        <v>107.05697996030513</v>
      </c>
      <c r="CZ8" s="171">
        <f>CX8/CT8%-100</f>
        <v>-10.097757178180245</v>
      </c>
      <c r="DA8" s="171">
        <v>57197.207159999998</v>
      </c>
      <c r="DB8" s="171">
        <v>1279.9257</v>
      </c>
      <c r="DC8" s="173">
        <v>39858.719140000001</v>
      </c>
      <c r="DD8" s="171">
        <f>DC8</f>
        <v>39858.719140000001</v>
      </c>
      <c r="DE8" s="173">
        <v>21.963480000000001</v>
      </c>
      <c r="DF8" s="171">
        <f>DE8</f>
        <v>21.963480000000001</v>
      </c>
      <c r="DG8" s="171">
        <f t="shared" ref="DG8:DG33" si="12">DD8-DA8</f>
        <v>-17338.488019999997</v>
      </c>
      <c r="DH8" s="171">
        <f t="shared" ref="DH8:DH33" si="13">DF8-DB8</f>
        <v>-1257.9622200000001</v>
      </c>
      <c r="DI8" s="171">
        <v>121074.8</v>
      </c>
      <c r="DJ8" s="171">
        <v>135000</v>
      </c>
      <c r="DK8" s="171">
        <f>DJ8-DI8</f>
        <v>13925.199999999997</v>
      </c>
      <c r="DL8" s="170">
        <v>0</v>
      </c>
      <c r="DM8" s="170">
        <v>1716556.94875</v>
      </c>
      <c r="DN8" s="170">
        <v>55648.841970000001</v>
      </c>
      <c r="DO8" s="170">
        <v>94293.292199999996</v>
      </c>
      <c r="DP8" s="171">
        <f>(DL8+DM8+DN8+DO8)</f>
        <v>1866499.08292</v>
      </c>
      <c r="DQ8" s="170">
        <v>0</v>
      </c>
      <c r="DR8" s="170">
        <v>1699130.3767200001</v>
      </c>
      <c r="DS8" s="170">
        <v>54960.30197</v>
      </c>
      <c r="DT8" s="170">
        <v>92201.610339999999</v>
      </c>
      <c r="DU8" s="171">
        <f>(DQ8+DR8+DS8+DT8)</f>
        <v>1846292.2890299999</v>
      </c>
      <c r="DV8" s="174">
        <f t="shared" ref="DV8:DV33" si="14">DP8-O8</f>
        <v>1701897.7260400001</v>
      </c>
      <c r="DW8" s="174">
        <f t="shared" ref="DW8:DW33" si="15">DU8-S8</f>
        <v>1683782.6140099999</v>
      </c>
      <c r="DX8" s="171">
        <f>DW8/DV8%</f>
        <v>98.935593381856677</v>
      </c>
      <c r="DY8" s="170">
        <v>283089.30706000002</v>
      </c>
      <c r="DZ8" s="171">
        <f>DY8</f>
        <v>283089.30706000002</v>
      </c>
      <c r="EA8" s="171">
        <v>35</v>
      </c>
      <c r="EB8" s="171">
        <f>DZ8*100/EA8</f>
        <v>808826.59160000004</v>
      </c>
      <c r="EC8" s="171">
        <f>EB8*35%</f>
        <v>283089.30706000002</v>
      </c>
      <c r="ED8" s="171">
        <f>DZ8-EC8</f>
        <v>0</v>
      </c>
      <c r="EE8" s="170">
        <v>303888.19290000002</v>
      </c>
      <c r="EF8" s="171">
        <f>EE8</f>
        <v>303888.19290000002</v>
      </c>
      <c r="EG8" s="171">
        <f>EF8*100/EA8</f>
        <v>868251.97971428582</v>
      </c>
      <c r="EH8" s="171">
        <f>EG8*35%</f>
        <v>303888.19290000002</v>
      </c>
      <c r="EI8" s="171">
        <f>EF8-EH8</f>
        <v>0</v>
      </c>
      <c r="EJ8" s="173">
        <v>38852.990360000003</v>
      </c>
      <c r="EK8" s="171">
        <f>EJ8</f>
        <v>38852.990360000003</v>
      </c>
      <c r="EL8" s="171">
        <v>40612</v>
      </c>
      <c r="EM8" s="171">
        <v>32052.528709999999</v>
      </c>
      <c r="EN8" s="171">
        <f t="shared" ref="EN8:EN33" si="16">EM8-EK8</f>
        <v>-6800.4616500000047</v>
      </c>
      <c r="EO8" s="171">
        <f>EM8/EK8%-100</f>
        <v>-17.503058547074474</v>
      </c>
      <c r="EV8" s="173">
        <v>267.35964999999999</v>
      </c>
      <c r="EW8" s="171">
        <f>EV8</f>
        <v>267.35964999999999</v>
      </c>
      <c r="EX8" s="313">
        <v>364.33677999999998</v>
      </c>
      <c r="EY8" s="171">
        <v>292.81398000000002</v>
      </c>
      <c r="EZ8" s="171">
        <f t="shared" ref="EZ8:EZ33" si="17">EY8-EW8</f>
        <v>25.454330000000027</v>
      </c>
      <c r="FA8" s="171">
        <f>EY8/EW8%-100</f>
        <v>9.5206326010675184</v>
      </c>
      <c r="FB8" s="173">
        <v>433.65438999999998</v>
      </c>
      <c r="FC8" s="171">
        <f>FB8</f>
        <v>433.65438999999998</v>
      </c>
      <c r="FD8" s="171">
        <v>406</v>
      </c>
      <c r="FE8" s="171">
        <v>492.12310000000002</v>
      </c>
      <c r="FF8" s="171">
        <f t="shared" ref="FF8" si="18">FE8-FC8</f>
        <v>58.468710000000044</v>
      </c>
      <c r="FG8" s="171">
        <f>FE8/FC8%-100</f>
        <v>13.482789831782881</v>
      </c>
      <c r="FH8" s="171">
        <v>234341.31184000045</v>
      </c>
      <c r="FI8" s="171">
        <v>21654.178960000001</v>
      </c>
      <c r="FJ8" s="171">
        <v>186944.50966000021</v>
      </c>
      <c r="FK8" s="171">
        <v>22073.80588</v>
      </c>
      <c r="FL8" s="171">
        <f>FJ8-FH8</f>
        <v>-47396.802180000232</v>
      </c>
      <c r="FM8" s="171">
        <f>FK8-FI8</f>
        <v>419.62691999999879</v>
      </c>
      <c r="FN8" s="171">
        <v>11921.28952</v>
      </c>
      <c r="FO8" s="171">
        <v>11921.28952</v>
      </c>
      <c r="FP8" s="171">
        <v>11056.446019999999</v>
      </c>
      <c r="FQ8" s="171">
        <v>11056.446019999999</v>
      </c>
      <c r="FR8" s="171">
        <f>FP8-FN8</f>
        <v>-864.84350000000086</v>
      </c>
      <c r="FS8" s="171">
        <f>FQ8-FO8</f>
        <v>-864.84350000000086</v>
      </c>
      <c r="FT8" s="171">
        <v>75145.705119999999</v>
      </c>
      <c r="FU8" s="171">
        <v>4906.96947</v>
      </c>
      <c r="FV8" s="171">
        <v>59517.534639999998</v>
      </c>
      <c r="FW8" s="171">
        <v>4639.6449499999999</v>
      </c>
      <c r="FX8" s="171">
        <f>FV8-FT8</f>
        <v>-15628.170480000001</v>
      </c>
      <c r="FY8" s="171">
        <f>FW8-FU8</f>
        <v>-267.32452000000012</v>
      </c>
      <c r="FZ8" s="171">
        <v>135295.62035000001</v>
      </c>
      <c r="GA8" s="171">
        <v>4592.5197500000004</v>
      </c>
      <c r="GB8" s="171">
        <v>107818.09701</v>
      </c>
      <c r="GC8" s="171">
        <v>5043.5792700000002</v>
      </c>
      <c r="GD8" s="171">
        <f>GB8-FZ8</f>
        <v>-27477.523340000014</v>
      </c>
      <c r="GE8" s="171">
        <f>GC8-GA8</f>
        <v>451.05951999999979</v>
      </c>
      <c r="GJ8" s="171">
        <f>GH8-GF8</f>
        <v>0</v>
      </c>
      <c r="GK8" s="171">
        <f>GI8-GG8</f>
        <v>0</v>
      </c>
      <c r="GL8" s="171">
        <v>0</v>
      </c>
      <c r="GM8" s="171">
        <v>0</v>
      </c>
      <c r="GN8" s="171">
        <v>0</v>
      </c>
      <c r="GO8" s="171">
        <v>0</v>
      </c>
      <c r="GP8" s="171">
        <f>GN8-GL8</f>
        <v>0</v>
      </c>
      <c r="GQ8" s="171">
        <f>GO8-GM8</f>
        <v>0</v>
      </c>
      <c r="GV8" s="171">
        <f>GT8-GR8</f>
        <v>0</v>
      </c>
      <c r="GW8" s="171">
        <f>GU8-GS8</f>
        <v>0</v>
      </c>
      <c r="HB8" s="171">
        <f>GZ8-GX8</f>
        <v>0</v>
      </c>
      <c r="HC8" s="171">
        <f>HA8-GY8</f>
        <v>0</v>
      </c>
      <c r="HH8" s="171">
        <f>HF8-HD8</f>
        <v>0</v>
      </c>
      <c r="HI8" s="171">
        <f>HG8-HE8</f>
        <v>0</v>
      </c>
      <c r="HN8" s="171">
        <f>HL8-HJ8</f>
        <v>0</v>
      </c>
      <c r="HO8" s="171">
        <f>HM8-HK8</f>
        <v>0</v>
      </c>
      <c r="HP8" s="171">
        <v>4945.1814100000001</v>
      </c>
      <c r="HQ8" s="171">
        <v>172.73322999999999</v>
      </c>
      <c r="HR8" s="171">
        <v>3670.8688999999999</v>
      </c>
      <c r="HS8" s="171">
        <v>1334.13564</v>
      </c>
      <c r="HT8" s="171">
        <f>HR8-HP8</f>
        <v>-1274.3125100000002</v>
      </c>
      <c r="HU8" s="171">
        <f>HS8-HQ8</f>
        <v>1161.4024099999999</v>
      </c>
      <c r="HV8" s="171">
        <v>1750.05</v>
      </c>
      <c r="HW8" s="171">
        <v>0</v>
      </c>
      <c r="HX8" s="171">
        <v>1283.4000000000001</v>
      </c>
      <c r="HY8" s="171">
        <v>0</v>
      </c>
      <c r="HZ8" s="171">
        <f>HX8-HV8</f>
        <v>-466.64999999999986</v>
      </c>
      <c r="IA8" s="171">
        <f>HY8-HW8</f>
        <v>0</v>
      </c>
      <c r="IB8" s="171">
        <v>0</v>
      </c>
      <c r="IC8" s="171">
        <v>0</v>
      </c>
      <c r="ID8" s="171">
        <v>0</v>
      </c>
      <c r="IE8" s="171">
        <v>0</v>
      </c>
      <c r="IF8" s="171">
        <f>ID8-IB8</f>
        <v>0</v>
      </c>
      <c r="IG8" s="171">
        <f>IE8-IC8</f>
        <v>0</v>
      </c>
      <c r="IH8" s="171">
        <v>0</v>
      </c>
      <c r="II8" s="171">
        <v>0</v>
      </c>
      <c r="IJ8" s="171">
        <v>0</v>
      </c>
      <c r="IK8" s="171">
        <v>0</v>
      </c>
      <c r="IL8" s="171">
        <f>IJ8-IH8</f>
        <v>0</v>
      </c>
      <c r="IM8" s="171">
        <f>IK8-II8</f>
        <v>0</v>
      </c>
      <c r="IN8" s="171">
        <v>0</v>
      </c>
      <c r="IO8" s="171">
        <v>0</v>
      </c>
      <c r="IP8" s="171">
        <v>0</v>
      </c>
      <c r="IQ8" s="171">
        <v>0</v>
      </c>
      <c r="IR8" s="171">
        <f>IP8-IN8</f>
        <v>0</v>
      </c>
      <c r="IS8" s="171">
        <f>IQ8-IO8</f>
        <v>0</v>
      </c>
      <c r="IT8" s="171">
        <v>62296.707029999998</v>
      </c>
      <c r="IU8" s="171">
        <v>4283.4483399999999</v>
      </c>
      <c r="IV8" s="171">
        <v>25496.327220000003</v>
      </c>
      <c r="IW8" s="171">
        <v>12.487019999999999</v>
      </c>
      <c r="IX8" s="171">
        <f>IV8-IT8</f>
        <v>-36800.379809999999</v>
      </c>
      <c r="IY8" s="171">
        <f>IW8-IU8</f>
        <v>-4270.9613200000003</v>
      </c>
      <c r="JB8" s="171">
        <f>JA8-IZ8</f>
        <v>0</v>
      </c>
      <c r="JE8" s="171">
        <f>JD8-JC8</f>
        <v>0</v>
      </c>
      <c r="JF8" s="171">
        <v>0</v>
      </c>
      <c r="JG8" s="171">
        <v>0</v>
      </c>
      <c r="JH8" s="171">
        <f>JG8-JF8</f>
        <v>0</v>
      </c>
      <c r="JI8" s="171">
        <v>0</v>
      </c>
      <c r="JJ8" s="171">
        <v>0</v>
      </c>
      <c r="JK8" s="171">
        <f>JJ8-JI8</f>
        <v>0</v>
      </c>
      <c r="JL8" s="171">
        <v>0</v>
      </c>
      <c r="JM8" s="171">
        <v>0</v>
      </c>
      <c r="JN8" s="171">
        <f>JM8-JL8</f>
        <v>0</v>
      </c>
      <c r="JO8" s="171">
        <v>0</v>
      </c>
      <c r="JP8" s="171">
        <v>0</v>
      </c>
      <c r="JQ8" s="171">
        <f>JP8-JO8</f>
        <v>0</v>
      </c>
      <c r="JR8" s="171">
        <v>247.23797999999999</v>
      </c>
      <c r="JS8" s="171">
        <v>0</v>
      </c>
      <c r="JT8" s="171">
        <f>JS8-JR8</f>
        <v>-247.23797999999999</v>
      </c>
      <c r="JU8" s="171">
        <v>0</v>
      </c>
      <c r="JV8" s="171">
        <v>0</v>
      </c>
      <c r="JW8" s="171">
        <f>JV8-JU8</f>
        <v>0</v>
      </c>
      <c r="JX8" s="171">
        <v>162.65074999999999</v>
      </c>
      <c r="JY8" s="171">
        <v>8.69862</v>
      </c>
      <c r="JZ8" s="171">
        <f>JY8-JX8</f>
        <v>-153.95212999999998</v>
      </c>
      <c r="KA8" s="171">
        <v>21398.323479999999</v>
      </c>
      <c r="KC8" s="171">
        <v>14515.53356</v>
      </c>
      <c r="KE8" s="171">
        <f>KC8-KA8</f>
        <v>-6882.7899199999993</v>
      </c>
      <c r="KF8" s="171">
        <f>KD8-KB8</f>
        <v>0</v>
      </c>
    </row>
    <row r="9" spans="1:292" s="171" customFormat="1" x14ac:dyDescent="0.25">
      <c r="A9" s="169" t="s">
        <v>153</v>
      </c>
      <c r="B9" s="170">
        <v>0</v>
      </c>
      <c r="C9" s="170">
        <v>720920.41229999997</v>
      </c>
      <c r="D9" s="170">
        <v>0</v>
      </c>
      <c r="E9" s="170">
        <v>46024.174559999999</v>
      </c>
      <c r="F9" s="171">
        <f t="shared" ref="F9:F33" si="19">(B9+C9+D9+E9)</f>
        <v>766944.58685999992</v>
      </c>
      <c r="G9" s="170">
        <v>0</v>
      </c>
      <c r="H9" s="170">
        <v>715103.80952999997</v>
      </c>
      <c r="I9" s="170">
        <v>0</v>
      </c>
      <c r="J9" s="170">
        <v>45184.198810000002</v>
      </c>
      <c r="K9" s="171">
        <f t="shared" ref="K9:K33" si="20">(G9+H9+I9+J9)</f>
        <v>760288.00833999994</v>
      </c>
      <c r="L9" s="170">
        <v>34322.043319999997</v>
      </c>
      <c r="M9" s="170">
        <v>0</v>
      </c>
      <c r="N9" s="170">
        <v>936.52829999999994</v>
      </c>
      <c r="O9" s="171">
        <f t="shared" ref="O9:O33" si="21">(L9+M9+N9)</f>
        <v>35258.571619999995</v>
      </c>
      <c r="P9" s="170">
        <v>33914.798020000002</v>
      </c>
      <c r="Q9" s="170">
        <v>0</v>
      </c>
      <c r="R9" s="170">
        <v>936.52829999999994</v>
      </c>
      <c r="S9" s="171">
        <f t="shared" ref="S9:S33" si="22">(P9+Q9+R9)</f>
        <v>34851.32632</v>
      </c>
      <c r="T9" s="170">
        <v>0</v>
      </c>
      <c r="U9" s="170">
        <v>748602.06489000004</v>
      </c>
      <c r="V9" s="170">
        <v>0</v>
      </c>
      <c r="W9" s="170">
        <v>48809.73616</v>
      </c>
      <c r="X9" s="171">
        <f t="shared" ref="X9:X33" si="23">(T9+U9+V9+W9)</f>
        <v>797411.80105000001</v>
      </c>
      <c r="Y9" s="170">
        <v>0</v>
      </c>
      <c r="Z9" s="170">
        <v>730981.44183000003</v>
      </c>
      <c r="AA9" s="170">
        <v>0</v>
      </c>
      <c r="AB9" s="170">
        <v>43615.106220000001</v>
      </c>
      <c r="AC9" s="171">
        <f t="shared" ref="AC9:AC33" si="24">(Y9+Z9+AA9+AB9)</f>
        <v>774596.54804999998</v>
      </c>
      <c r="AD9" s="171">
        <f t="shared" ref="AD9:AD33" si="25">F9-O9</f>
        <v>731686.01523999998</v>
      </c>
      <c r="AE9" s="171">
        <f t="shared" si="0"/>
        <v>725436.68201999995</v>
      </c>
      <c r="AF9" s="171">
        <f t="shared" ref="AF9:AF35" si="26">AE9/AD9%</f>
        <v>99.145899594930739</v>
      </c>
      <c r="AG9" s="172">
        <v>731686</v>
      </c>
      <c r="AH9" s="172">
        <f t="shared" ref="AH9:AH33" si="27">AG9-AD9</f>
        <v>-1.5239999978803098E-2</v>
      </c>
      <c r="AI9" s="172">
        <v>725437</v>
      </c>
      <c r="AJ9" s="172">
        <f t="shared" ref="AJ9:AJ33" si="28">AI9-AE9</f>
        <v>0.31798000005073845</v>
      </c>
      <c r="AK9" s="171">
        <f t="shared" si="1"/>
        <v>762153.22943000006</v>
      </c>
      <c r="AL9" s="171">
        <f t="shared" si="2"/>
        <v>739745.22172999999</v>
      </c>
      <c r="AM9" s="171">
        <f t="shared" ref="AM9:AM35" si="29">AL9/AK9%</f>
        <v>97.05990779350779</v>
      </c>
      <c r="AN9" s="173">
        <v>0</v>
      </c>
      <c r="AO9" s="173">
        <v>-29426.5877</v>
      </c>
      <c r="AP9" s="173">
        <v>0</v>
      </c>
      <c r="AQ9" s="173">
        <v>-2768.2865999999999</v>
      </c>
      <c r="AR9" s="171">
        <f t="shared" ref="AR9:AR33" si="30">AN9+AO9+AP9+AQ9</f>
        <v>-32194.874299999999</v>
      </c>
      <c r="AS9" s="173">
        <v>0</v>
      </c>
      <c r="AT9" s="173">
        <v>-15877.632299999999</v>
      </c>
      <c r="AU9" s="173">
        <v>0</v>
      </c>
      <c r="AV9" s="173">
        <v>1569.09259</v>
      </c>
      <c r="AW9" s="171">
        <f t="shared" ref="AW9:AW33" si="31">AS9+AT9+AU9+AV9</f>
        <v>-14308.539709999999</v>
      </c>
      <c r="AX9" s="170">
        <v>0</v>
      </c>
      <c r="AY9" s="170">
        <v>623419.68645000004</v>
      </c>
      <c r="AZ9" s="170">
        <v>0</v>
      </c>
      <c r="BA9" s="170">
        <v>34478.443319999998</v>
      </c>
      <c r="BB9" s="312">
        <f t="shared" ref="BB9:BB33" si="32">L9-((AZ9+BA9))</f>
        <v>-156.40000000000146</v>
      </c>
      <c r="BC9" s="171">
        <f t="shared" ref="BC9:BC33" si="33">(AX9+AY9+AZ9+BA9)</f>
        <v>657898.12977</v>
      </c>
      <c r="BD9" s="170">
        <v>0</v>
      </c>
      <c r="BE9" s="170">
        <v>617579.52896999998</v>
      </c>
      <c r="BF9" s="170">
        <v>0</v>
      </c>
      <c r="BG9" s="170">
        <v>33914.798020000002</v>
      </c>
      <c r="BH9" s="312">
        <f t="shared" si="3"/>
        <v>0</v>
      </c>
      <c r="BI9" s="171">
        <f t="shared" ref="BI9:BI33" si="34">(BD9+BE9+BF9+BG9)</f>
        <v>651494.32698999997</v>
      </c>
      <c r="BJ9" s="171">
        <f t="shared" si="4"/>
        <v>622639.55815000006</v>
      </c>
      <c r="BK9" s="171">
        <f t="shared" si="5"/>
        <v>616643.00066999998</v>
      </c>
      <c r="BL9" s="171">
        <f t="shared" ref="BL9:BL35" si="35">BK9/BJ9%</f>
        <v>99.036913507741588</v>
      </c>
      <c r="BM9" s="170">
        <v>0</v>
      </c>
      <c r="BN9" s="170">
        <v>95563.965259999997</v>
      </c>
      <c r="BO9" s="170">
        <v>0</v>
      </c>
      <c r="BP9" s="170">
        <v>11728.8</v>
      </c>
      <c r="BQ9" s="171">
        <f t="shared" ref="BQ9:BQ33" si="36">(BM9+BN9+BO9+BP9)</f>
        <v>107292.76526</v>
      </c>
      <c r="BR9" s="171">
        <f t="shared" si="6"/>
        <v>107292.76526</v>
      </c>
      <c r="BS9" s="170">
        <v>0</v>
      </c>
      <c r="BT9" s="170">
        <v>95587.519969999994</v>
      </c>
      <c r="BU9" s="170">
        <v>0</v>
      </c>
      <c r="BV9" s="170">
        <v>11452.46955</v>
      </c>
      <c r="BW9" s="171">
        <f t="shared" ref="BW9:BW33" si="37">(BS9+BT9+BU9+BV9)</f>
        <v>107039.98951999999</v>
      </c>
      <c r="BX9" s="171">
        <f t="shared" si="7"/>
        <v>107039.98951999999</v>
      </c>
      <c r="BY9" s="171">
        <v>5228.8228399999998</v>
      </c>
      <c r="BZ9" s="173">
        <v>4717.8</v>
      </c>
      <c r="CA9" s="171">
        <f t="shared" ref="CA9:CC33" si="38">(BZ9)</f>
        <v>4717.8</v>
      </c>
      <c r="CB9" s="173">
        <v>4729.3572199999999</v>
      </c>
      <c r="CC9" s="171">
        <f t="shared" si="38"/>
        <v>4729.3572199999999</v>
      </c>
      <c r="CD9" s="171">
        <f t="shared" si="8"/>
        <v>100.24497053711474</v>
      </c>
      <c r="CE9" s="171">
        <f t="shared" ref="CE9:CE34" si="39">CC9/BY9%-100</f>
        <v>-9.5521618399295392</v>
      </c>
      <c r="CF9" s="173">
        <v>747</v>
      </c>
      <c r="CG9" s="171">
        <f t="shared" ref="CG9:CG33" si="40">(CF9)</f>
        <v>747</v>
      </c>
      <c r="CH9" s="269">
        <v>742.92746999999997</v>
      </c>
      <c r="CI9" s="171">
        <f t="shared" ref="CI9:CI33" si="41">(CH9)</f>
        <v>742.92746999999997</v>
      </c>
      <c r="CJ9" s="171">
        <f t="shared" si="9"/>
        <v>99.454815261044175</v>
      </c>
      <c r="CK9" s="173">
        <v>7525.7180399999997</v>
      </c>
      <c r="CL9" s="171">
        <f t="shared" ref="CL9:CL33" si="42">(CK9)</f>
        <v>7525.7180399999997</v>
      </c>
      <c r="CM9" s="173">
        <v>8582.2132299999994</v>
      </c>
      <c r="CN9" s="171">
        <f t="shared" ref="CN9:CN33" si="43">CM9</f>
        <v>8582.2132299999994</v>
      </c>
      <c r="CO9" s="173">
        <v>7301.7770499999997</v>
      </c>
      <c r="CP9" s="171">
        <f t="shared" ref="CP9:CP33" si="44">CO9</f>
        <v>7301.7770499999997</v>
      </c>
      <c r="CQ9" s="171">
        <f t="shared" si="10"/>
        <v>97.024323940789046</v>
      </c>
      <c r="CR9" s="171">
        <f t="shared" ref="CR9:CR33" si="45">CP9-CN9</f>
        <v>-1280.4361799999997</v>
      </c>
      <c r="CS9" s="171">
        <f t="shared" ref="CS9:CS35" si="46">CP9/CN9%-100</f>
        <v>-14.919650044630728</v>
      </c>
      <c r="CT9" s="171">
        <v>19441.434410000002</v>
      </c>
      <c r="CU9" s="173">
        <v>18956.141680000001</v>
      </c>
      <c r="CV9" s="171">
        <f t="shared" ref="CV9:CV33" si="47">(CU9)</f>
        <v>18956.141680000001</v>
      </c>
      <c r="CW9" s="173">
        <v>19235.95781</v>
      </c>
      <c r="CX9" s="171">
        <f t="shared" ref="CX9" si="48">(CW9)</f>
        <v>19235.95781</v>
      </c>
      <c r="CY9" s="171">
        <f t="shared" si="11"/>
        <v>101.47612385855516</v>
      </c>
      <c r="CZ9" s="171">
        <f t="shared" ref="CZ9:CZ33" si="49">CX9/CT9%-100</f>
        <v>-1.056900410055718</v>
      </c>
      <c r="DA9" s="171">
        <v>41653.513160000002</v>
      </c>
      <c r="DB9" s="171">
        <v>2998.2575700000002</v>
      </c>
      <c r="DC9" s="173">
        <v>27344.973450000001</v>
      </c>
      <c r="DD9" s="171">
        <f t="shared" ref="DD9:DD33" si="50">DC9</f>
        <v>27344.973450000001</v>
      </c>
      <c r="DE9" s="173">
        <v>1239.9915599999999</v>
      </c>
      <c r="DF9" s="171">
        <f t="shared" ref="DF9:DF33" si="51">DE9</f>
        <v>1239.9915599999999</v>
      </c>
      <c r="DG9" s="171">
        <f t="shared" si="12"/>
        <v>-14308.539710000001</v>
      </c>
      <c r="DH9" s="171">
        <f t="shared" si="13"/>
        <v>-1758.2660100000003</v>
      </c>
      <c r="DJ9" s="171">
        <v>0</v>
      </c>
      <c r="DK9" s="171">
        <f t="shared" ref="DK9:DK33" si="52">DJ9-DI9</f>
        <v>0</v>
      </c>
      <c r="DL9" s="170">
        <v>0</v>
      </c>
      <c r="DM9" s="170">
        <v>625356.44704</v>
      </c>
      <c r="DN9" s="170">
        <v>0</v>
      </c>
      <c r="DO9" s="170">
        <v>34295.374559999997</v>
      </c>
      <c r="DP9" s="171">
        <f t="shared" ref="DP9:DP33" si="53">(DL9+DM9+DN9+DO9)</f>
        <v>659651.82160000002</v>
      </c>
      <c r="DQ9" s="170">
        <v>0</v>
      </c>
      <c r="DR9" s="170">
        <v>619516.28955999995</v>
      </c>
      <c r="DS9" s="170">
        <v>0</v>
      </c>
      <c r="DT9" s="170">
        <v>33731.72926</v>
      </c>
      <c r="DU9" s="171">
        <f t="shared" ref="DU9:DU33" si="54">(DQ9+DR9+DS9+DT9)</f>
        <v>653248.01882</v>
      </c>
      <c r="DV9" s="174">
        <f t="shared" si="14"/>
        <v>624393.24998000008</v>
      </c>
      <c r="DW9" s="174">
        <f t="shared" si="15"/>
        <v>618396.6925</v>
      </c>
      <c r="DX9" s="171">
        <f t="shared" ref="DX9:DX35" si="55">DW9/DV9%</f>
        <v>99.039618464774861</v>
      </c>
      <c r="DY9" s="170">
        <v>48952.740279999998</v>
      </c>
      <c r="DZ9" s="171">
        <f t="shared" ref="DZ9:DZ33" si="56">DY9</f>
        <v>48952.740279999998</v>
      </c>
      <c r="EA9" s="171">
        <v>35</v>
      </c>
      <c r="EB9" s="171">
        <f t="shared" ref="EB9:EB33" si="57">DZ9*100/EA9</f>
        <v>139864.97222857142</v>
      </c>
      <c r="EC9" s="171">
        <f t="shared" ref="EC9:EC26" si="58">EB9*35%</f>
        <v>48952.740279999998</v>
      </c>
      <c r="ED9" s="171">
        <f t="shared" ref="ED9:ED33" si="59">DZ9-EC9</f>
        <v>0</v>
      </c>
      <c r="EE9" s="170">
        <v>49133.75043</v>
      </c>
      <c r="EF9" s="171">
        <f t="shared" ref="EF9:EF33" si="60">EE9</f>
        <v>49133.75043</v>
      </c>
      <c r="EG9" s="171">
        <f t="shared" ref="EG9:EG33" si="61">EF9*100/EA9</f>
        <v>140382.14408571427</v>
      </c>
      <c r="EH9" s="171">
        <f t="shared" ref="EH9:EH26" si="62">EG9*35%</f>
        <v>49133.750429999993</v>
      </c>
      <c r="EI9" s="171">
        <f t="shared" ref="EI9:EI33" si="63">EF9-EH9</f>
        <v>0</v>
      </c>
      <c r="EJ9" s="173">
        <v>5161.9595200000003</v>
      </c>
      <c r="EK9" s="171">
        <f t="shared" ref="EK9:EK33" si="64">EJ9</f>
        <v>5161.9595200000003</v>
      </c>
      <c r="EL9" s="171">
        <v>4659.5</v>
      </c>
      <c r="EM9" s="171">
        <v>4678.7852199999998</v>
      </c>
      <c r="EN9" s="171">
        <f t="shared" si="16"/>
        <v>-483.17430000000058</v>
      </c>
      <c r="EO9" s="171">
        <f t="shared" ref="EO9:EO34" si="65">EM9/EK9%-100</f>
        <v>-9.3602884355823193</v>
      </c>
      <c r="EV9" s="173">
        <v>66.863320000000002</v>
      </c>
      <c r="EW9" s="171">
        <f t="shared" ref="EW9:EW33" si="66">EV9</f>
        <v>66.863320000000002</v>
      </c>
      <c r="EX9" s="313">
        <v>58.3</v>
      </c>
      <c r="EY9" s="171">
        <v>50.572000000000003</v>
      </c>
      <c r="EZ9" s="171">
        <f t="shared" si="17"/>
        <v>-16.291319999999999</v>
      </c>
      <c r="FA9" s="171">
        <f t="shared" ref="FA9:FA34" si="67">EY9/EW9%-100</f>
        <v>-24.365107804996825</v>
      </c>
      <c r="FB9" s="173">
        <v>0</v>
      </c>
      <c r="FC9" s="171">
        <f t="shared" ref="FC9:FC33" si="68">FB9</f>
        <v>0</v>
      </c>
      <c r="FD9" s="171">
        <v>0</v>
      </c>
      <c r="FE9" s="171">
        <v>0</v>
      </c>
      <c r="FF9" s="171">
        <f t="shared" ref="FF9:FF33" si="69">FE9-FC9</f>
        <v>0</v>
      </c>
      <c r="FG9" s="171" t="e">
        <f t="shared" ref="FG9:FG34" si="70">FE9/FC9%-100</f>
        <v>#DIV/0!</v>
      </c>
      <c r="FH9" s="171">
        <v>18070.538859999971</v>
      </c>
      <c r="FI9" s="171">
        <v>13069.82308</v>
      </c>
      <c r="FJ9" s="171">
        <v>19983.266280000098</v>
      </c>
      <c r="FK9" s="171">
        <v>11671.09166</v>
      </c>
      <c r="FL9" s="171">
        <f t="shared" ref="FL9:FL33" si="71">FJ9-FH9</f>
        <v>1912.7274200001266</v>
      </c>
      <c r="FM9" s="171">
        <f t="shared" ref="FM9:FM33" si="72">FK9-FI9</f>
        <v>-1398.7314200000001</v>
      </c>
      <c r="FN9" s="171">
        <v>1639.8438599999999</v>
      </c>
      <c r="FO9" s="171">
        <v>1527.37544</v>
      </c>
      <c r="FP9" s="171">
        <v>1719.3237300000001</v>
      </c>
      <c r="FQ9" s="171">
        <v>1719.3237300000001</v>
      </c>
      <c r="FR9" s="171">
        <f t="shared" ref="FR9:FR33" si="73">FP9-FN9</f>
        <v>79.479870000000119</v>
      </c>
      <c r="FS9" s="171">
        <f t="shared" ref="FS9:FS33" si="74">FQ9-FO9</f>
        <v>191.94829000000004</v>
      </c>
      <c r="FT9" s="171">
        <v>7245.38796</v>
      </c>
      <c r="FU9" s="171">
        <v>7188.0479599999999</v>
      </c>
      <c r="FV9" s="171">
        <v>6084.9086699999998</v>
      </c>
      <c r="FW9" s="171">
        <v>6084.9086699999998</v>
      </c>
      <c r="FX9" s="171">
        <f t="shared" ref="FX9:FX33" si="75">FV9-FT9</f>
        <v>-1160.4792900000002</v>
      </c>
      <c r="FY9" s="171">
        <f t="shared" ref="FY9:FY33" si="76">FW9-FU9</f>
        <v>-1103.1392900000001</v>
      </c>
      <c r="FZ9" s="171">
        <v>0</v>
      </c>
      <c r="GA9" s="171">
        <v>0</v>
      </c>
      <c r="GB9" s="171">
        <v>0</v>
      </c>
      <c r="GC9" s="171">
        <v>0</v>
      </c>
      <c r="GD9" s="171">
        <f t="shared" ref="GD9:GD33" si="77">GB9-FZ9</f>
        <v>0</v>
      </c>
      <c r="GE9" s="171">
        <f t="shared" ref="GE9:GE33" si="78">GC9-GA9</f>
        <v>0</v>
      </c>
      <c r="GJ9" s="171">
        <f t="shared" ref="GJ9:GJ33" si="79">GH9-GF9</f>
        <v>0</v>
      </c>
      <c r="GK9" s="171">
        <f t="shared" ref="GK9:GK33" si="80">GI9-GG9</f>
        <v>0</v>
      </c>
      <c r="GL9" s="171">
        <v>3778.5093900000002</v>
      </c>
      <c r="GM9" s="171">
        <v>3778.5093900000002</v>
      </c>
      <c r="GN9" s="171">
        <v>3716.1105200000002</v>
      </c>
      <c r="GO9" s="171">
        <v>3716.1105200000002</v>
      </c>
      <c r="GP9" s="171">
        <f t="shared" ref="GP9:GP33" si="81">GN9-GL9</f>
        <v>-62.398869999999988</v>
      </c>
      <c r="GQ9" s="171">
        <f t="shared" ref="GQ9:GQ33" si="82">GO9-GM9</f>
        <v>-62.398869999999988</v>
      </c>
      <c r="GV9" s="171">
        <f t="shared" ref="GV9:GV33" si="83">GT9-GR9</f>
        <v>0</v>
      </c>
      <c r="GW9" s="171">
        <f t="shared" ref="GW9:GW33" si="84">GU9-GS9</f>
        <v>0</v>
      </c>
      <c r="HB9" s="171">
        <f t="shared" ref="HB9:HB35" si="85">GZ9-GX9</f>
        <v>0</v>
      </c>
      <c r="HC9" s="171">
        <f t="shared" ref="HC9:HC35" si="86">HA9-GY9</f>
        <v>0</v>
      </c>
      <c r="HH9" s="171">
        <f t="shared" ref="HH9:HH33" si="87">HF9-HD9</f>
        <v>0</v>
      </c>
      <c r="HI9" s="171">
        <f t="shared" ref="HI9:HI33" si="88">HG9-HE9</f>
        <v>0</v>
      </c>
      <c r="HN9" s="171">
        <f t="shared" ref="HN9:HN33" si="89">HL9-HJ9</f>
        <v>0</v>
      </c>
      <c r="HO9" s="171">
        <f t="shared" ref="HO9:HO33" si="90">HM9-HK9</f>
        <v>0</v>
      </c>
      <c r="HP9" s="171">
        <v>128.89494999999999</v>
      </c>
      <c r="HQ9" s="171">
        <v>128.89494999999999</v>
      </c>
      <c r="HR9" s="171">
        <v>124.89494999999999</v>
      </c>
      <c r="HS9" s="171">
        <v>124.89494999999999</v>
      </c>
      <c r="HT9" s="171">
        <f t="shared" ref="HT9:HT33" si="91">HR9-HP9</f>
        <v>-4</v>
      </c>
      <c r="HU9" s="171">
        <f t="shared" ref="HU9:HU33" si="92">HS9-HQ9</f>
        <v>-4</v>
      </c>
      <c r="HV9" s="171">
        <v>302.57807000000003</v>
      </c>
      <c r="HW9" s="171">
        <v>302.57807000000003</v>
      </c>
      <c r="HX9" s="171">
        <v>223.64483000000001</v>
      </c>
      <c r="HY9" s="171">
        <v>0</v>
      </c>
      <c r="HZ9" s="171">
        <f t="shared" ref="HZ9:HZ33" si="93">HX9-HV9</f>
        <v>-78.933240000000012</v>
      </c>
      <c r="IA9" s="171">
        <f t="shared" ref="IA9:IA33" si="94">HY9-HW9</f>
        <v>-302.57807000000003</v>
      </c>
      <c r="IB9" s="171">
        <v>0</v>
      </c>
      <c r="IC9" s="171">
        <v>0</v>
      </c>
      <c r="ID9" s="171">
        <v>3</v>
      </c>
      <c r="IE9" s="171">
        <v>3</v>
      </c>
      <c r="IF9" s="171">
        <f t="shared" ref="IF9:IF35" si="95">ID9-IB9</f>
        <v>3</v>
      </c>
      <c r="IG9" s="171">
        <f t="shared" ref="IG9:IG33" si="96">IE9-IC9</f>
        <v>3</v>
      </c>
      <c r="IH9" s="171">
        <v>0</v>
      </c>
      <c r="II9" s="171">
        <v>0</v>
      </c>
      <c r="IJ9" s="171">
        <v>0</v>
      </c>
      <c r="IK9" s="171">
        <v>0</v>
      </c>
      <c r="IL9" s="171">
        <f t="shared" ref="IL9:IL33" si="97">IJ9-IH9</f>
        <v>0</v>
      </c>
      <c r="IM9" s="171">
        <f t="shared" ref="IM9:IM33" si="98">IK9-II9</f>
        <v>0</v>
      </c>
      <c r="IN9" s="171">
        <v>0</v>
      </c>
      <c r="IO9" s="171">
        <v>0</v>
      </c>
      <c r="IP9" s="171">
        <v>0</v>
      </c>
      <c r="IQ9" s="171">
        <v>0</v>
      </c>
      <c r="IR9" s="171">
        <f t="shared" ref="IR9:IR33" si="99">IP9-IN9</f>
        <v>0</v>
      </c>
      <c r="IS9" s="171">
        <f t="shared" ref="IS9:IS33" si="100">IQ9-IO9</f>
        <v>0</v>
      </c>
      <c r="IT9" s="171">
        <v>5621.9100899999994</v>
      </c>
      <c r="IU9" s="171">
        <v>0</v>
      </c>
      <c r="IV9" s="171">
        <v>5443.6735600000002</v>
      </c>
      <c r="IW9" s="171">
        <v>0</v>
      </c>
      <c r="IX9" s="171">
        <f t="shared" ref="IX9:IX33" si="101">IV9-IT9</f>
        <v>-178.23652999999922</v>
      </c>
      <c r="IY9" s="171">
        <f t="shared" ref="IY9:IY33" si="102">IW9-IU9</f>
        <v>0</v>
      </c>
      <c r="JB9" s="171">
        <f t="shared" ref="JB9:JB33" si="103">JA9-IZ9</f>
        <v>0</v>
      </c>
      <c r="JE9" s="171">
        <f t="shared" ref="JE9:JE35" si="104">JD9-JC9</f>
        <v>0</v>
      </c>
      <c r="JF9" s="171">
        <v>0</v>
      </c>
      <c r="JG9" s="171">
        <v>0</v>
      </c>
      <c r="JH9" s="171">
        <f t="shared" ref="JH9:JH35" si="105">JG9-JF9</f>
        <v>0</v>
      </c>
      <c r="JI9" s="171">
        <v>0</v>
      </c>
      <c r="JJ9" s="171">
        <v>0</v>
      </c>
      <c r="JK9" s="171">
        <f t="shared" ref="JK9:JK33" si="106">JJ9-JI9</f>
        <v>0</v>
      </c>
      <c r="JL9" s="171">
        <v>0</v>
      </c>
      <c r="JM9" s="171">
        <v>0</v>
      </c>
      <c r="JN9" s="171">
        <f t="shared" ref="JN9:JN33" si="107">JM9-JL9</f>
        <v>0</v>
      </c>
      <c r="JO9" s="171">
        <v>0</v>
      </c>
      <c r="JP9" s="171">
        <v>0</v>
      </c>
      <c r="JQ9" s="171">
        <f t="shared" ref="JQ9:JQ33" si="108">JP9-JO9</f>
        <v>0</v>
      </c>
      <c r="JR9" s="171">
        <v>0</v>
      </c>
      <c r="JS9" s="171">
        <v>0</v>
      </c>
      <c r="JT9" s="171">
        <f t="shared" ref="JT9:JT35" si="109">JS9-JR9</f>
        <v>0</v>
      </c>
      <c r="JU9" s="171">
        <v>0</v>
      </c>
      <c r="JV9" s="171">
        <v>0</v>
      </c>
      <c r="JW9" s="171">
        <f t="shared" ref="JW9:JW35" si="110">JV9-JU9</f>
        <v>0</v>
      </c>
      <c r="JX9" s="171">
        <v>0</v>
      </c>
      <c r="JY9" s="171">
        <v>0</v>
      </c>
      <c r="JZ9" s="171">
        <f t="shared" ref="JZ9:JZ35" si="111">JY9-JX9</f>
        <v>0</v>
      </c>
      <c r="KA9" s="171">
        <v>5120.9581699999999</v>
      </c>
      <c r="KC9" s="171">
        <v>2728.1731100000002</v>
      </c>
      <c r="KE9" s="171">
        <f t="shared" ref="KE9:KE35" si="112">KC9-KA9</f>
        <v>-2392.7850599999997</v>
      </c>
      <c r="KF9" s="171">
        <f t="shared" ref="KF9:KF35" si="113">KD9-KB9</f>
        <v>0</v>
      </c>
    </row>
    <row r="10" spans="1:292" s="171" customFormat="1" x14ac:dyDescent="0.25">
      <c r="A10" s="169" t="s">
        <v>154</v>
      </c>
      <c r="B10" s="170">
        <v>0</v>
      </c>
      <c r="C10" s="170">
        <v>842506.27436000004</v>
      </c>
      <c r="D10" s="170">
        <v>0</v>
      </c>
      <c r="E10" s="170">
        <v>60757.296520000004</v>
      </c>
      <c r="F10" s="171">
        <f t="shared" si="19"/>
        <v>903263.57088000001</v>
      </c>
      <c r="G10" s="170">
        <v>0</v>
      </c>
      <c r="H10" s="170">
        <v>789305.11514999997</v>
      </c>
      <c r="I10" s="170">
        <v>0</v>
      </c>
      <c r="J10" s="170">
        <v>58724.554960000001</v>
      </c>
      <c r="K10" s="171">
        <f t="shared" si="20"/>
        <v>848029.67010999995</v>
      </c>
      <c r="L10" s="170">
        <v>50316.974400000006</v>
      </c>
      <c r="M10" s="170">
        <v>0</v>
      </c>
      <c r="N10" s="170">
        <v>8923.6</v>
      </c>
      <c r="O10" s="171">
        <f t="shared" si="21"/>
        <v>59240.574400000005</v>
      </c>
      <c r="P10" s="170">
        <v>49109.457479999997</v>
      </c>
      <c r="Q10" s="170">
        <v>0</v>
      </c>
      <c r="R10" s="170">
        <v>8923.6</v>
      </c>
      <c r="S10" s="171">
        <f t="shared" si="22"/>
        <v>58033.057479999996</v>
      </c>
      <c r="T10" s="170">
        <v>0</v>
      </c>
      <c r="U10" s="170">
        <v>874052.48340999999</v>
      </c>
      <c r="V10" s="170">
        <v>0</v>
      </c>
      <c r="W10" s="170">
        <v>64793.33526</v>
      </c>
      <c r="X10" s="171">
        <f t="shared" si="23"/>
        <v>938845.81866999995</v>
      </c>
      <c r="Y10" s="170">
        <v>0</v>
      </c>
      <c r="Z10" s="170">
        <v>815205.39459000004</v>
      </c>
      <c r="AA10" s="170">
        <v>0</v>
      </c>
      <c r="AB10" s="170">
        <v>61385.786169999999</v>
      </c>
      <c r="AC10" s="171">
        <f t="shared" si="24"/>
        <v>876591.18076000002</v>
      </c>
      <c r="AD10" s="171">
        <f t="shared" si="25"/>
        <v>844022.99647999997</v>
      </c>
      <c r="AE10" s="171">
        <f t="shared" si="0"/>
        <v>789996.61262999999</v>
      </c>
      <c r="AF10" s="171">
        <f t="shared" si="26"/>
        <v>93.59894409568021</v>
      </c>
      <c r="AG10" s="172">
        <v>844023</v>
      </c>
      <c r="AH10" s="172">
        <f t="shared" si="27"/>
        <v>3.5200000274926424E-3</v>
      </c>
      <c r="AI10" s="172">
        <v>789997</v>
      </c>
      <c r="AJ10" s="172">
        <f t="shared" si="28"/>
        <v>0.38737000001128763</v>
      </c>
      <c r="AK10" s="171">
        <f t="shared" si="1"/>
        <v>879605.24426999991</v>
      </c>
      <c r="AL10" s="171">
        <f t="shared" si="2"/>
        <v>818558.12328000006</v>
      </c>
      <c r="AM10" s="171">
        <f t="shared" si="29"/>
        <v>93.059713844627666</v>
      </c>
      <c r="AN10" s="173">
        <v>0</v>
      </c>
      <c r="AO10" s="173">
        <v>-31546.209050000001</v>
      </c>
      <c r="AP10" s="173">
        <v>0</v>
      </c>
      <c r="AQ10" s="173">
        <v>-4036.03874</v>
      </c>
      <c r="AR10" s="171">
        <f t="shared" si="30"/>
        <v>-35582.247790000001</v>
      </c>
      <c r="AS10" s="173">
        <v>0</v>
      </c>
      <c r="AT10" s="173">
        <v>-25900.279439999998</v>
      </c>
      <c r="AU10" s="173">
        <v>0</v>
      </c>
      <c r="AV10" s="173">
        <v>-2661.2312099999999</v>
      </c>
      <c r="AW10" s="171">
        <f t="shared" si="31"/>
        <v>-28561.510649999997</v>
      </c>
      <c r="AX10" s="170">
        <v>0</v>
      </c>
      <c r="AY10" s="170">
        <v>766211.60239999997</v>
      </c>
      <c r="AZ10" s="170">
        <v>0</v>
      </c>
      <c r="BA10" s="170">
        <v>50316.974399999999</v>
      </c>
      <c r="BB10" s="312">
        <f t="shared" si="32"/>
        <v>0</v>
      </c>
      <c r="BC10" s="171">
        <f t="shared" si="33"/>
        <v>816528.57679999992</v>
      </c>
      <c r="BD10" s="170">
        <v>0</v>
      </c>
      <c r="BE10" s="170">
        <v>718104.36410999997</v>
      </c>
      <c r="BF10" s="170">
        <v>0</v>
      </c>
      <c r="BG10" s="170">
        <v>49109.457479999997</v>
      </c>
      <c r="BH10" s="312">
        <f t="shared" si="3"/>
        <v>0</v>
      </c>
      <c r="BI10" s="171">
        <f t="shared" si="34"/>
        <v>767213.82158999995</v>
      </c>
      <c r="BJ10" s="171">
        <f t="shared" si="4"/>
        <v>757288.00239999988</v>
      </c>
      <c r="BK10" s="171">
        <f t="shared" si="5"/>
        <v>709180.76410999999</v>
      </c>
      <c r="BL10" s="171">
        <f t="shared" si="35"/>
        <v>93.647431606266267</v>
      </c>
      <c r="BM10" s="170">
        <v>0</v>
      </c>
      <c r="BN10" s="170">
        <v>75290.7</v>
      </c>
      <c r="BO10" s="170">
        <v>0</v>
      </c>
      <c r="BP10" s="170">
        <v>11610.3</v>
      </c>
      <c r="BQ10" s="171">
        <f t="shared" si="36"/>
        <v>86901</v>
      </c>
      <c r="BR10" s="171">
        <f t="shared" si="6"/>
        <v>86901</v>
      </c>
      <c r="BS10" s="170">
        <v>0</v>
      </c>
      <c r="BT10" s="170">
        <v>74285.433910000007</v>
      </c>
      <c r="BU10" s="170">
        <v>0</v>
      </c>
      <c r="BV10" s="170">
        <v>10820.871719999999</v>
      </c>
      <c r="BW10" s="171">
        <f t="shared" si="37"/>
        <v>85106.305630000003</v>
      </c>
      <c r="BX10" s="171">
        <f t="shared" si="7"/>
        <v>85106.305630000003</v>
      </c>
      <c r="BY10" s="171">
        <v>9031.1351699999996</v>
      </c>
      <c r="BZ10" s="173">
        <v>8303</v>
      </c>
      <c r="CA10" s="171">
        <f t="shared" si="38"/>
        <v>8303</v>
      </c>
      <c r="CB10" s="173">
        <v>8253.0860599999996</v>
      </c>
      <c r="CC10" s="171">
        <f t="shared" si="38"/>
        <v>8253.0860599999996</v>
      </c>
      <c r="CD10" s="171">
        <f t="shared" si="8"/>
        <v>99.398844514031069</v>
      </c>
      <c r="CE10" s="171">
        <f t="shared" si="39"/>
        <v>-8.6151861903756526</v>
      </c>
      <c r="CF10" s="173">
        <v>1130.4000000000001</v>
      </c>
      <c r="CG10" s="171">
        <f t="shared" si="40"/>
        <v>1130.4000000000001</v>
      </c>
      <c r="CH10" s="269">
        <v>883.49851999999998</v>
      </c>
      <c r="CI10" s="171">
        <f t="shared" si="41"/>
        <v>883.49851999999998</v>
      </c>
      <c r="CJ10" s="171">
        <f t="shared" si="9"/>
        <v>78.158043170559097</v>
      </c>
      <c r="CK10" s="173">
        <v>6075.9</v>
      </c>
      <c r="CL10" s="171">
        <f t="shared" si="42"/>
        <v>6075.9</v>
      </c>
      <c r="CM10" s="173">
        <v>7105.8663100000003</v>
      </c>
      <c r="CN10" s="171">
        <f t="shared" si="43"/>
        <v>7105.8663100000003</v>
      </c>
      <c r="CO10" s="173">
        <v>5583.9365600000001</v>
      </c>
      <c r="CP10" s="171">
        <f t="shared" si="44"/>
        <v>5583.9365600000001</v>
      </c>
      <c r="CQ10" s="171">
        <f t="shared" si="10"/>
        <v>91.903035928833603</v>
      </c>
      <c r="CR10" s="171">
        <f t="shared" si="45"/>
        <v>-1521.9297500000002</v>
      </c>
      <c r="CS10" s="171">
        <f t="shared" si="46"/>
        <v>-21.41793390987678</v>
      </c>
      <c r="CT10" s="171">
        <v>13155.05681</v>
      </c>
      <c r="CU10" s="173">
        <v>10034.6</v>
      </c>
      <c r="CV10" s="171">
        <f t="shared" si="47"/>
        <v>10034.6</v>
      </c>
      <c r="CW10" s="173">
        <v>9986.8863399999991</v>
      </c>
      <c r="CX10" s="171">
        <f t="shared" ref="CX10" si="114">(CW10)</f>
        <v>9986.8863399999991</v>
      </c>
      <c r="CY10" s="171">
        <f t="shared" si="11"/>
        <v>99.524508600243152</v>
      </c>
      <c r="CZ10" s="171">
        <f t="shared" si="49"/>
        <v>-24.083289914732035</v>
      </c>
      <c r="DA10" s="171">
        <v>30309.410159999999</v>
      </c>
      <c r="DB10" s="171">
        <v>5885.8885</v>
      </c>
      <c r="DC10" s="173">
        <v>9447.8995099999993</v>
      </c>
      <c r="DD10" s="171">
        <f t="shared" si="50"/>
        <v>9447.8995099999993</v>
      </c>
      <c r="DE10" s="173">
        <v>823.25124000000005</v>
      </c>
      <c r="DF10" s="171">
        <f t="shared" si="51"/>
        <v>823.25124000000005</v>
      </c>
      <c r="DG10" s="171">
        <f t="shared" si="12"/>
        <v>-20861.51065</v>
      </c>
      <c r="DH10" s="171">
        <f t="shared" si="13"/>
        <v>-5062.6372599999995</v>
      </c>
      <c r="DJ10" s="171">
        <v>7700</v>
      </c>
      <c r="DK10" s="171">
        <f t="shared" si="52"/>
        <v>7700</v>
      </c>
      <c r="DL10" s="170">
        <v>0</v>
      </c>
      <c r="DM10" s="170">
        <v>767215.57435999997</v>
      </c>
      <c r="DN10" s="170">
        <v>0</v>
      </c>
      <c r="DO10" s="170">
        <v>49146.996520000001</v>
      </c>
      <c r="DP10" s="171">
        <f t="shared" si="53"/>
        <v>816362.57088000001</v>
      </c>
      <c r="DQ10" s="170">
        <v>0</v>
      </c>
      <c r="DR10" s="170">
        <v>715019.68123999995</v>
      </c>
      <c r="DS10" s="170">
        <v>0</v>
      </c>
      <c r="DT10" s="170">
        <v>47903.683239999998</v>
      </c>
      <c r="DU10" s="171">
        <f t="shared" si="54"/>
        <v>762923.36447999999</v>
      </c>
      <c r="DV10" s="174">
        <f t="shared" si="14"/>
        <v>757121.99647999997</v>
      </c>
      <c r="DW10" s="174">
        <f t="shared" si="15"/>
        <v>704890.30700000003</v>
      </c>
      <c r="DX10" s="171">
        <f t="shared" si="55"/>
        <v>93.101284902190841</v>
      </c>
      <c r="DY10" s="170">
        <v>48229</v>
      </c>
      <c r="DZ10" s="171">
        <f t="shared" si="56"/>
        <v>48229</v>
      </c>
      <c r="EA10" s="171">
        <v>35</v>
      </c>
      <c r="EB10" s="171">
        <f t="shared" si="57"/>
        <v>137797.14285714287</v>
      </c>
      <c r="EC10" s="171">
        <f t="shared" si="58"/>
        <v>48229</v>
      </c>
      <c r="ED10" s="171">
        <f t="shared" si="59"/>
        <v>0</v>
      </c>
      <c r="EE10" s="170">
        <v>47490.064039999997</v>
      </c>
      <c r="EF10" s="171">
        <f t="shared" si="60"/>
        <v>47490.064039999997</v>
      </c>
      <c r="EG10" s="171">
        <f t="shared" si="61"/>
        <v>135685.89725714285</v>
      </c>
      <c r="EH10" s="171">
        <f t="shared" si="62"/>
        <v>47490.06403999999</v>
      </c>
      <c r="EI10" s="171">
        <f t="shared" si="63"/>
        <v>0</v>
      </c>
      <c r="EJ10" s="173">
        <v>8250.8500600000007</v>
      </c>
      <c r="EK10" s="171">
        <f t="shared" si="64"/>
        <v>8250.8500600000007</v>
      </c>
      <c r="EL10" s="171">
        <v>7802</v>
      </c>
      <c r="EM10" s="171">
        <v>7825.7479999999996</v>
      </c>
      <c r="EN10" s="171">
        <f t="shared" si="16"/>
        <v>-425.10206000000107</v>
      </c>
      <c r="EO10" s="171">
        <f t="shared" si="65"/>
        <v>-5.1522213700245203</v>
      </c>
      <c r="EV10" s="173">
        <v>780.28511000000003</v>
      </c>
      <c r="EW10" s="171">
        <f t="shared" si="66"/>
        <v>780.28511000000003</v>
      </c>
      <c r="EX10" s="313">
        <v>492</v>
      </c>
      <c r="EY10" s="171">
        <v>418.56103999999999</v>
      </c>
      <c r="EZ10" s="171">
        <f t="shared" si="17"/>
        <v>-361.72407000000004</v>
      </c>
      <c r="FA10" s="171">
        <f t="shared" si="67"/>
        <v>-46.357935755047286</v>
      </c>
      <c r="FB10" s="173">
        <v>0</v>
      </c>
      <c r="FC10" s="171">
        <f t="shared" si="68"/>
        <v>0</v>
      </c>
      <c r="FD10" s="171">
        <v>9</v>
      </c>
      <c r="FE10" s="171">
        <v>8.7770200000000003</v>
      </c>
      <c r="FF10" s="171">
        <f t="shared" si="69"/>
        <v>8.7770200000000003</v>
      </c>
      <c r="FG10" s="171" t="e">
        <f t="shared" si="70"/>
        <v>#DIV/0!</v>
      </c>
      <c r="FH10" s="171">
        <v>11842.53770999983</v>
      </c>
      <c r="FI10" s="171">
        <v>3915.8969200000001</v>
      </c>
      <c r="FJ10" s="171">
        <v>10348.577959999908</v>
      </c>
      <c r="FK10" s="171">
        <v>3874.65787</v>
      </c>
      <c r="FL10" s="171">
        <f t="shared" si="71"/>
        <v>-1493.9597499999218</v>
      </c>
      <c r="FM10" s="171">
        <f t="shared" si="72"/>
        <v>-41.239050000000134</v>
      </c>
      <c r="FN10" s="171">
        <v>1149.69741</v>
      </c>
      <c r="FO10" s="171">
        <v>1149.6973800000001</v>
      </c>
      <c r="FP10" s="171">
        <v>1145.01422</v>
      </c>
      <c r="FQ10" s="171">
        <v>1145.01422</v>
      </c>
      <c r="FR10" s="171">
        <f t="shared" si="73"/>
        <v>-4.6831899999999678</v>
      </c>
      <c r="FS10" s="171">
        <f t="shared" si="74"/>
        <v>-4.6831600000000435</v>
      </c>
      <c r="FT10" s="171">
        <v>4095.47993</v>
      </c>
      <c r="FU10" s="171">
        <v>70.406239999999997</v>
      </c>
      <c r="FV10" s="171">
        <v>3211.86355</v>
      </c>
      <c r="FW10" s="171">
        <v>872.38531999999998</v>
      </c>
      <c r="FX10" s="171">
        <f t="shared" si="75"/>
        <v>-883.61637999999994</v>
      </c>
      <c r="FY10" s="171">
        <f t="shared" si="76"/>
        <v>801.97907999999995</v>
      </c>
      <c r="FZ10" s="171">
        <v>5272.8851800000002</v>
      </c>
      <c r="GA10" s="171">
        <v>2559.95982</v>
      </c>
      <c r="GB10" s="171">
        <v>3627.0561299999999</v>
      </c>
      <c r="GC10" s="171">
        <v>1649.1342999999999</v>
      </c>
      <c r="GD10" s="171">
        <f t="shared" si="77"/>
        <v>-1645.8290500000003</v>
      </c>
      <c r="GE10" s="171">
        <f t="shared" si="78"/>
        <v>-910.8255200000001</v>
      </c>
      <c r="GJ10" s="171">
        <f t="shared" si="79"/>
        <v>0</v>
      </c>
      <c r="GK10" s="171">
        <f t="shared" si="80"/>
        <v>0</v>
      </c>
      <c r="GL10" s="171">
        <v>889.25220999999999</v>
      </c>
      <c r="GM10" s="171">
        <v>135.58674999999999</v>
      </c>
      <c r="GN10" s="171">
        <v>1112.21524</v>
      </c>
      <c r="GO10" s="171">
        <v>208.12403</v>
      </c>
      <c r="GP10" s="171">
        <f t="shared" si="81"/>
        <v>222.96303</v>
      </c>
      <c r="GQ10" s="171">
        <f t="shared" si="82"/>
        <v>72.53728000000001</v>
      </c>
      <c r="GV10" s="171">
        <f t="shared" si="83"/>
        <v>0</v>
      </c>
      <c r="GW10" s="171">
        <f t="shared" si="84"/>
        <v>0</v>
      </c>
      <c r="HB10" s="171">
        <f t="shared" si="85"/>
        <v>0</v>
      </c>
      <c r="HC10" s="171">
        <f t="shared" si="86"/>
        <v>0</v>
      </c>
      <c r="HH10" s="171">
        <f t="shared" si="87"/>
        <v>0</v>
      </c>
      <c r="HI10" s="171">
        <f t="shared" si="88"/>
        <v>0</v>
      </c>
      <c r="HN10" s="171">
        <f t="shared" si="89"/>
        <v>0</v>
      </c>
      <c r="HO10" s="171">
        <f t="shared" si="90"/>
        <v>0</v>
      </c>
      <c r="HP10" s="171">
        <v>332.01015999999998</v>
      </c>
      <c r="HQ10" s="171">
        <v>0</v>
      </c>
      <c r="HR10" s="171">
        <v>230.96960000000001</v>
      </c>
      <c r="HS10" s="171">
        <v>0</v>
      </c>
      <c r="HT10" s="171">
        <f t="shared" si="91"/>
        <v>-101.04055999999997</v>
      </c>
      <c r="HU10" s="171">
        <f t="shared" si="92"/>
        <v>0</v>
      </c>
      <c r="HV10" s="171">
        <v>0</v>
      </c>
      <c r="HW10" s="171">
        <v>0</v>
      </c>
      <c r="HX10" s="171">
        <v>0</v>
      </c>
      <c r="HY10" s="171">
        <v>0</v>
      </c>
      <c r="HZ10" s="171">
        <f t="shared" si="93"/>
        <v>0</v>
      </c>
      <c r="IA10" s="171">
        <f t="shared" si="94"/>
        <v>0</v>
      </c>
      <c r="IB10" s="171">
        <v>0</v>
      </c>
      <c r="IC10" s="171">
        <v>0</v>
      </c>
      <c r="ID10" s="171">
        <v>0</v>
      </c>
      <c r="IE10" s="171">
        <v>0</v>
      </c>
      <c r="IF10" s="171">
        <f t="shared" si="95"/>
        <v>0</v>
      </c>
      <c r="IG10" s="171">
        <f t="shared" si="96"/>
        <v>0</v>
      </c>
      <c r="IH10" s="171">
        <v>0</v>
      </c>
      <c r="II10" s="171">
        <v>0</v>
      </c>
      <c r="IJ10" s="171">
        <v>957.06155999999999</v>
      </c>
      <c r="IK10" s="171">
        <v>0</v>
      </c>
      <c r="IL10" s="171">
        <f t="shared" si="97"/>
        <v>957.06155999999999</v>
      </c>
      <c r="IM10" s="171">
        <f t="shared" si="98"/>
        <v>0</v>
      </c>
      <c r="IN10" s="171">
        <v>0</v>
      </c>
      <c r="IO10" s="171">
        <v>0</v>
      </c>
      <c r="IP10" s="171">
        <v>0</v>
      </c>
      <c r="IQ10" s="171">
        <v>0</v>
      </c>
      <c r="IR10" s="171">
        <f t="shared" si="99"/>
        <v>0</v>
      </c>
      <c r="IS10" s="171">
        <f t="shared" si="100"/>
        <v>0</v>
      </c>
      <c r="IT10" s="171">
        <v>6760.8038399999996</v>
      </c>
      <c r="IU10" s="171">
        <v>0</v>
      </c>
      <c r="IV10" s="171">
        <v>24813.30588</v>
      </c>
      <c r="IW10" s="171">
        <v>0</v>
      </c>
      <c r="IX10" s="171">
        <f t="shared" si="101"/>
        <v>18052.502039999999</v>
      </c>
      <c r="IY10" s="171">
        <f t="shared" si="102"/>
        <v>0</v>
      </c>
      <c r="JB10" s="171">
        <f t="shared" si="103"/>
        <v>0</v>
      </c>
      <c r="JE10" s="171">
        <f t="shared" si="104"/>
        <v>0</v>
      </c>
      <c r="JF10" s="171">
        <v>0</v>
      </c>
      <c r="JG10" s="171">
        <v>0</v>
      </c>
      <c r="JH10" s="171">
        <f t="shared" si="105"/>
        <v>0</v>
      </c>
      <c r="JI10" s="171">
        <v>0</v>
      </c>
      <c r="JJ10" s="171">
        <v>0</v>
      </c>
      <c r="JK10" s="171">
        <f t="shared" si="106"/>
        <v>0</v>
      </c>
      <c r="JL10" s="171">
        <v>0</v>
      </c>
      <c r="JM10" s="171">
        <v>0</v>
      </c>
      <c r="JN10" s="171">
        <f t="shared" si="107"/>
        <v>0</v>
      </c>
      <c r="JO10" s="171">
        <v>0</v>
      </c>
      <c r="JP10" s="171">
        <v>0</v>
      </c>
      <c r="JQ10" s="171">
        <f t="shared" si="108"/>
        <v>0</v>
      </c>
      <c r="JR10" s="171">
        <v>0</v>
      </c>
      <c r="JS10" s="171">
        <v>0</v>
      </c>
      <c r="JT10" s="171">
        <f t="shared" si="109"/>
        <v>0</v>
      </c>
      <c r="JU10" s="171">
        <v>0</v>
      </c>
      <c r="JV10" s="171">
        <v>0</v>
      </c>
      <c r="JW10" s="171">
        <f t="shared" si="110"/>
        <v>0</v>
      </c>
      <c r="JX10" s="171">
        <v>0</v>
      </c>
      <c r="JY10" s="171">
        <v>0</v>
      </c>
      <c r="JZ10" s="171">
        <f t="shared" si="111"/>
        <v>0</v>
      </c>
      <c r="KA10" s="171">
        <v>4141.6975000000002</v>
      </c>
      <c r="KC10" s="171">
        <v>2820.9776000000002</v>
      </c>
      <c r="KE10" s="171">
        <f t="shared" si="112"/>
        <v>-1320.7199000000001</v>
      </c>
      <c r="KF10" s="171">
        <f t="shared" si="113"/>
        <v>0</v>
      </c>
    </row>
    <row r="11" spans="1:292" s="171" customFormat="1" x14ac:dyDescent="0.25">
      <c r="A11" s="169" t="s">
        <v>155</v>
      </c>
      <c r="B11" s="170">
        <v>0</v>
      </c>
      <c r="C11" s="170">
        <v>861438.02488000004</v>
      </c>
      <c r="D11" s="170">
        <v>62162.420359999996</v>
      </c>
      <c r="E11" s="170">
        <v>76093.858940000006</v>
      </c>
      <c r="F11" s="171">
        <f t="shared" si="19"/>
        <v>999694.30417999998</v>
      </c>
      <c r="G11" s="170">
        <v>0</v>
      </c>
      <c r="H11" s="170">
        <v>780115.88506999996</v>
      </c>
      <c r="I11" s="170">
        <v>61357.871709999999</v>
      </c>
      <c r="J11" s="170">
        <v>75923.768219999998</v>
      </c>
      <c r="K11" s="171">
        <f t="shared" si="20"/>
        <v>917397.52499999991</v>
      </c>
      <c r="L11" s="170">
        <v>101843.9393</v>
      </c>
      <c r="M11" s="170">
        <v>174.15</v>
      </c>
      <c r="N11" s="170">
        <v>3.5</v>
      </c>
      <c r="O11" s="171">
        <f t="shared" si="21"/>
        <v>102021.58929999999</v>
      </c>
      <c r="P11" s="170">
        <v>101304.26963</v>
      </c>
      <c r="Q11" s="170">
        <v>174.15</v>
      </c>
      <c r="R11" s="170">
        <v>3.5</v>
      </c>
      <c r="S11" s="171">
        <f t="shared" si="22"/>
        <v>101481.91962999999</v>
      </c>
      <c r="T11" s="170">
        <v>0</v>
      </c>
      <c r="U11" s="170">
        <v>907337.93052000005</v>
      </c>
      <c r="V11" s="170">
        <v>64377.220359999999</v>
      </c>
      <c r="W11" s="170">
        <v>77033.050610000006</v>
      </c>
      <c r="X11" s="171">
        <f t="shared" si="23"/>
        <v>1048748.2014900001</v>
      </c>
      <c r="Y11" s="170">
        <v>0</v>
      </c>
      <c r="Z11" s="170">
        <v>806593.85904999997</v>
      </c>
      <c r="AA11" s="170">
        <v>62555.271119999998</v>
      </c>
      <c r="AB11" s="170">
        <v>75904.84607</v>
      </c>
      <c r="AC11" s="171">
        <f t="shared" si="24"/>
        <v>945053.97623999999</v>
      </c>
      <c r="AD11" s="171">
        <f t="shared" si="25"/>
        <v>897672.71487999998</v>
      </c>
      <c r="AE11" s="171">
        <f t="shared" si="0"/>
        <v>815915.60536999989</v>
      </c>
      <c r="AF11" s="171">
        <f t="shared" si="26"/>
        <v>90.89232543723584</v>
      </c>
      <c r="AG11" s="172">
        <v>897673</v>
      </c>
      <c r="AH11" s="172">
        <f t="shared" si="27"/>
        <v>0.28512000001501292</v>
      </c>
      <c r="AI11" s="172">
        <v>815916</v>
      </c>
      <c r="AJ11" s="172">
        <f t="shared" si="28"/>
        <v>0.39463000011164695</v>
      </c>
      <c r="AK11" s="171">
        <f t="shared" si="1"/>
        <v>946726.61219000013</v>
      </c>
      <c r="AL11" s="171">
        <f t="shared" si="2"/>
        <v>843572.05660999997</v>
      </c>
      <c r="AM11" s="171">
        <f t="shared" si="29"/>
        <v>89.104081975536786</v>
      </c>
      <c r="AN11" s="173">
        <v>0</v>
      </c>
      <c r="AO11" s="173">
        <v>-66480.041089999999</v>
      </c>
      <c r="AP11" s="173">
        <v>-2214.8000000000002</v>
      </c>
      <c r="AQ11" s="173">
        <v>-939.19167000000004</v>
      </c>
      <c r="AR11" s="171">
        <f t="shared" si="30"/>
        <v>-69634.032760000002</v>
      </c>
      <c r="AS11" s="173">
        <v>0</v>
      </c>
      <c r="AT11" s="173">
        <v>-26477.973979999999</v>
      </c>
      <c r="AU11" s="173">
        <v>-1197.39941</v>
      </c>
      <c r="AV11" s="173">
        <v>18.922149999999998</v>
      </c>
      <c r="AW11" s="171">
        <f t="shared" si="31"/>
        <v>-27656.451240000002</v>
      </c>
      <c r="AX11" s="170">
        <v>0</v>
      </c>
      <c r="AY11" s="170">
        <v>775511.62488000002</v>
      </c>
      <c r="AZ11" s="170">
        <v>33308.320359999998</v>
      </c>
      <c r="BA11" s="170">
        <v>68535.61894</v>
      </c>
      <c r="BB11" s="312">
        <f t="shared" si="32"/>
        <v>0</v>
      </c>
      <c r="BC11" s="171">
        <f t="shared" si="33"/>
        <v>877355.56417999999</v>
      </c>
      <c r="BD11" s="170">
        <v>0</v>
      </c>
      <c r="BE11" s="170">
        <v>683464.00844000001</v>
      </c>
      <c r="BF11" s="170">
        <v>33308.320359999998</v>
      </c>
      <c r="BG11" s="170">
        <v>67995.949269999997</v>
      </c>
      <c r="BH11" s="312">
        <f t="shared" si="3"/>
        <v>0</v>
      </c>
      <c r="BI11" s="171">
        <f t="shared" si="34"/>
        <v>784768.27807</v>
      </c>
      <c r="BJ11" s="171">
        <f t="shared" si="4"/>
        <v>775333.97487999999</v>
      </c>
      <c r="BK11" s="171">
        <f t="shared" si="5"/>
        <v>683286.35843999998</v>
      </c>
      <c r="BL11" s="171">
        <f t="shared" si="35"/>
        <v>88.128004263679216</v>
      </c>
      <c r="BM11" s="170">
        <v>0</v>
      </c>
      <c r="BN11" s="170">
        <v>85926.399999999994</v>
      </c>
      <c r="BO11" s="170">
        <v>28765.1</v>
      </c>
      <c r="BP11" s="170">
        <v>7498.24</v>
      </c>
      <c r="BQ11" s="171">
        <f t="shared" si="36"/>
        <v>122189.74</v>
      </c>
      <c r="BR11" s="171">
        <f t="shared" si="6"/>
        <v>122189.74</v>
      </c>
      <c r="BS11" s="170">
        <v>0</v>
      </c>
      <c r="BT11" s="170">
        <v>96651.876629999999</v>
      </c>
      <c r="BU11" s="170">
        <v>27960.551350000002</v>
      </c>
      <c r="BV11" s="170">
        <v>7867.8189499999999</v>
      </c>
      <c r="BW11" s="171">
        <f t="shared" si="37"/>
        <v>132480.24692999999</v>
      </c>
      <c r="BX11" s="171">
        <f t="shared" si="7"/>
        <v>132480.24692999999</v>
      </c>
      <c r="BY11" s="171">
        <v>7732.3208999999997</v>
      </c>
      <c r="BZ11" s="173">
        <v>5399</v>
      </c>
      <c r="CA11" s="171">
        <f t="shared" si="38"/>
        <v>5399</v>
      </c>
      <c r="CB11" s="173">
        <v>5403.27927</v>
      </c>
      <c r="CC11" s="171">
        <f t="shared" si="38"/>
        <v>5403.27927</v>
      </c>
      <c r="CD11" s="171">
        <f t="shared" si="8"/>
        <v>100.07926041859604</v>
      </c>
      <c r="CE11" s="171">
        <f t="shared" si="39"/>
        <v>-30.120860995306074</v>
      </c>
      <c r="CF11" s="173">
        <v>715.14</v>
      </c>
      <c r="CG11" s="171">
        <f t="shared" si="40"/>
        <v>715.14</v>
      </c>
      <c r="CH11" s="269">
        <v>314.84174999999999</v>
      </c>
      <c r="CI11" s="171">
        <f t="shared" si="41"/>
        <v>314.84174999999999</v>
      </c>
      <c r="CJ11" s="171">
        <f t="shared" si="9"/>
        <v>44.025190871717427</v>
      </c>
      <c r="CK11" s="173">
        <v>10170</v>
      </c>
      <c r="CL11" s="171">
        <f t="shared" si="42"/>
        <v>10170</v>
      </c>
      <c r="CM11" s="173">
        <v>8817.5523799999992</v>
      </c>
      <c r="CN11" s="171">
        <f t="shared" si="43"/>
        <v>8817.5523799999992</v>
      </c>
      <c r="CO11" s="173">
        <v>8044.4654700000001</v>
      </c>
      <c r="CP11" s="171">
        <f t="shared" si="44"/>
        <v>8044.4654700000001</v>
      </c>
      <c r="CQ11" s="171">
        <f t="shared" si="10"/>
        <v>79.099955457227139</v>
      </c>
      <c r="CR11" s="171">
        <f t="shared" si="45"/>
        <v>-773.08690999999908</v>
      </c>
      <c r="CS11" s="171">
        <f t="shared" si="46"/>
        <v>-8.7675907857776707</v>
      </c>
      <c r="CT11" s="171">
        <v>18540.17841</v>
      </c>
      <c r="CU11" s="173">
        <v>16014.7</v>
      </c>
      <c r="CV11" s="171">
        <f t="shared" si="47"/>
        <v>16014.7</v>
      </c>
      <c r="CW11" s="173">
        <v>16669.479429999999</v>
      </c>
      <c r="CX11" s="171">
        <f t="shared" ref="CX11" si="115">(CW11)</f>
        <v>16669.479429999999</v>
      </c>
      <c r="CY11" s="171">
        <f t="shared" si="11"/>
        <v>104.08861502244811</v>
      </c>
      <c r="CZ11" s="171">
        <f t="shared" si="49"/>
        <v>-10.089972915206715</v>
      </c>
      <c r="DA11" s="171">
        <v>76316.722890000005</v>
      </c>
      <c r="DB11" s="171">
        <v>12043.7826</v>
      </c>
      <c r="DC11" s="173">
        <v>48660.271650000002</v>
      </c>
      <c r="DD11" s="171">
        <f t="shared" si="50"/>
        <v>48660.271650000002</v>
      </c>
      <c r="DE11" s="173">
        <v>7866.6819599999999</v>
      </c>
      <c r="DF11" s="171">
        <f t="shared" si="51"/>
        <v>7866.6819599999999</v>
      </c>
      <c r="DG11" s="171">
        <f t="shared" si="12"/>
        <v>-27656.451240000002</v>
      </c>
      <c r="DH11" s="171">
        <f t="shared" si="13"/>
        <v>-4177.1006400000006</v>
      </c>
      <c r="DJ11" s="171">
        <v>0</v>
      </c>
      <c r="DK11" s="171">
        <f t="shared" si="52"/>
        <v>0</v>
      </c>
      <c r="DL11" s="170">
        <v>0</v>
      </c>
      <c r="DM11" s="170">
        <v>775511.62488000002</v>
      </c>
      <c r="DN11" s="170">
        <v>33397.320359999998</v>
      </c>
      <c r="DO11" s="170">
        <v>68595.61894</v>
      </c>
      <c r="DP11" s="171">
        <f t="shared" si="53"/>
        <v>877504.56417999999</v>
      </c>
      <c r="DQ11" s="170">
        <v>0</v>
      </c>
      <c r="DR11" s="170">
        <v>683464.00844000001</v>
      </c>
      <c r="DS11" s="170">
        <v>33397.320359999998</v>
      </c>
      <c r="DT11" s="170">
        <v>68055.949269999997</v>
      </c>
      <c r="DU11" s="171">
        <f t="shared" si="54"/>
        <v>784917.27807</v>
      </c>
      <c r="DV11" s="174">
        <f t="shared" si="14"/>
        <v>775482.97487999999</v>
      </c>
      <c r="DW11" s="174">
        <f t="shared" si="15"/>
        <v>683435.35843999998</v>
      </c>
      <c r="DX11" s="171">
        <f t="shared" si="55"/>
        <v>88.130285329056562</v>
      </c>
      <c r="DY11" s="170">
        <v>73731.7</v>
      </c>
      <c r="DZ11" s="171">
        <f t="shared" si="56"/>
        <v>73731.7</v>
      </c>
      <c r="EA11" s="171">
        <v>35</v>
      </c>
      <c r="EB11" s="171">
        <f t="shared" si="57"/>
        <v>210662</v>
      </c>
      <c r="EC11" s="171">
        <f t="shared" si="58"/>
        <v>73731.7</v>
      </c>
      <c r="ED11" s="171">
        <f t="shared" si="59"/>
        <v>0</v>
      </c>
      <c r="EE11" s="170">
        <v>86466.601060000001</v>
      </c>
      <c r="EF11" s="171">
        <f t="shared" si="60"/>
        <v>86466.601060000001</v>
      </c>
      <c r="EG11" s="171">
        <f t="shared" si="61"/>
        <v>247047.43160000001</v>
      </c>
      <c r="EH11" s="171">
        <f t="shared" si="62"/>
        <v>86466.601060000001</v>
      </c>
      <c r="EI11" s="171">
        <f t="shared" si="63"/>
        <v>0</v>
      </c>
      <c r="EJ11" s="173">
        <v>7399.9919799999998</v>
      </c>
      <c r="EK11" s="171">
        <f t="shared" si="64"/>
        <v>7399.9919799999998</v>
      </c>
      <c r="EL11" s="171">
        <v>5293.5</v>
      </c>
      <c r="EM11" s="171">
        <v>5291.6617399999996</v>
      </c>
      <c r="EN11" s="171">
        <f t="shared" si="16"/>
        <v>-2108.3302400000002</v>
      </c>
      <c r="EO11" s="171">
        <f t="shared" si="65"/>
        <v>-28.490980067251371</v>
      </c>
      <c r="EV11" s="173">
        <v>35.483919999999998</v>
      </c>
      <c r="EW11" s="171">
        <f t="shared" si="66"/>
        <v>35.483919999999998</v>
      </c>
      <c r="EX11" s="313">
        <v>98.5</v>
      </c>
      <c r="EY11" s="171">
        <v>100.30352999999999</v>
      </c>
      <c r="EZ11" s="171">
        <f t="shared" si="17"/>
        <v>64.819609999999997</v>
      </c>
      <c r="FA11" s="171">
        <f t="shared" si="67"/>
        <v>182.67319394249563</v>
      </c>
      <c r="FB11" s="173">
        <v>296.84500000000003</v>
      </c>
      <c r="FC11" s="171">
        <f t="shared" si="68"/>
        <v>296.84500000000003</v>
      </c>
      <c r="FD11" s="171">
        <v>7</v>
      </c>
      <c r="FE11" s="171">
        <v>11.314</v>
      </c>
      <c r="FF11" s="171">
        <f t="shared" si="69"/>
        <v>-285.53100000000001</v>
      </c>
      <c r="FG11" s="171">
        <f t="shared" si="70"/>
        <v>-96.18858326736175</v>
      </c>
      <c r="FH11" s="171">
        <v>85858.755889999913</v>
      </c>
      <c r="FI11" s="171">
        <v>7421.5724</v>
      </c>
      <c r="FJ11" s="171">
        <v>85742.944380000001</v>
      </c>
      <c r="FK11" s="171">
        <v>6818.3524200000002</v>
      </c>
      <c r="FL11" s="171">
        <f t="shared" si="71"/>
        <v>-115.81150999991223</v>
      </c>
      <c r="FM11" s="171">
        <f t="shared" si="72"/>
        <v>-603.21997999999985</v>
      </c>
      <c r="FN11" s="171">
        <v>3237.93381</v>
      </c>
      <c r="FO11" s="171">
        <v>3237.93381</v>
      </c>
      <c r="FP11" s="171">
        <v>3311.9139599999999</v>
      </c>
      <c r="FQ11" s="171">
        <v>3311.9139599999999</v>
      </c>
      <c r="FR11" s="171">
        <f t="shared" si="73"/>
        <v>73.980149999999867</v>
      </c>
      <c r="FS11" s="171">
        <f t="shared" si="74"/>
        <v>73.980149999999867</v>
      </c>
      <c r="FT11" s="171">
        <v>6483.3243400000001</v>
      </c>
      <c r="FU11" s="171">
        <v>243.48439999999999</v>
      </c>
      <c r="FV11" s="171">
        <v>5877.08547</v>
      </c>
      <c r="FW11" s="171">
        <v>143.72273000000001</v>
      </c>
      <c r="FX11" s="171">
        <f t="shared" si="75"/>
        <v>-606.23887000000013</v>
      </c>
      <c r="FY11" s="171">
        <f t="shared" si="76"/>
        <v>-99.761669999999981</v>
      </c>
      <c r="FZ11" s="171">
        <v>71597.747520000004</v>
      </c>
      <c r="GA11" s="171">
        <v>1410.4033400000001</v>
      </c>
      <c r="GB11" s="171">
        <v>69616.625509999998</v>
      </c>
      <c r="GC11" s="171">
        <v>261.85930000000002</v>
      </c>
      <c r="GD11" s="171">
        <f t="shared" si="77"/>
        <v>-1981.1220100000064</v>
      </c>
      <c r="GE11" s="171">
        <f t="shared" si="78"/>
        <v>-1148.54404</v>
      </c>
      <c r="GJ11" s="171">
        <f t="shared" si="79"/>
        <v>0</v>
      </c>
      <c r="GK11" s="171">
        <f t="shared" si="80"/>
        <v>0</v>
      </c>
      <c r="GL11" s="171">
        <v>2228.17704</v>
      </c>
      <c r="GM11" s="171">
        <v>2136.95703</v>
      </c>
      <c r="GN11" s="171">
        <v>2934.9065599999999</v>
      </c>
      <c r="GO11" s="171">
        <v>2729.9381199999998</v>
      </c>
      <c r="GP11" s="171">
        <f t="shared" si="81"/>
        <v>706.72951999999987</v>
      </c>
      <c r="GQ11" s="171">
        <f t="shared" si="82"/>
        <v>592.98108999999977</v>
      </c>
      <c r="GV11" s="171">
        <f t="shared" si="83"/>
        <v>0</v>
      </c>
      <c r="GW11" s="171">
        <f t="shared" si="84"/>
        <v>0</v>
      </c>
      <c r="HB11" s="171">
        <f t="shared" si="85"/>
        <v>0</v>
      </c>
      <c r="HC11" s="171">
        <f t="shared" si="86"/>
        <v>0</v>
      </c>
      <c r="HH11" s="171">
        <f t="shared" si="87"/>
        <v>0</v>
      </c>
      <c r="HI11" s="171">
        <f t="shared" si="88"/>
        <v>0</v>
      </c>
      <c r="HN11" s="171">
        <f t="shared" si="89"/>
        <v>0</v>
      </c>
      <c r="HO11" s="171">
        <f t="shared" si="90"/>
        <v>0</v>
      </c>
      <c r="HP11" s="171">
        <v>836.65481</v>
      </c>
      <c r="HQ11" s="171">
        <v>392.79381999999998</v>
      </c>
      <c r="HR11" s="171">
        <v>667.47929999999997</v>
      </c>
      <c r="HS11" s="171">
        <v>370.91831000000002</v>
      </c>
      <c r="HT11" s="171">
        <f t="shared" si="91"/>
        <v>-169.17551000000003</v>
      </c>
      <c r="HU11" s="171">
        <f t="shared" si="92"/>
        <v>-21.875509999999963</v>
      </c>
      <c r="HV11" s="171">
        <v>0</v>
      </c>
      <c r="HW11" s="171">
        <v>0</v>
      </c>
      <c r="HX11" s="171">
        <v>0</v>
      </c>
      <c r="HY11" s="171">
        <v>0</v>
      </c>
      <c r="HZ11" s="171">
        <f t="shared" si="93"/>
        <v>0</v>
      </c>
      <c r="IA11" s="171">
        <f t="shared" si="94"/>
        <v>0</v>
      </c>
      <c r="IB11" s="171">
        <v>0</v>
      </c>
      <c r="IC11" s="171">
        <v>0</v>
      </c>
      <c r="ID11" s="171">
        <v>0</v>
      </c>
      <c r="IE11" s="171">
        <v>0</v>
      </c>
      <c r="IF11" s="171">
        <f t="shared" si="95"/>
        <v>0</v>
      </c>
      <c r="IG11" s="171">
        <f t="shared" si="96"/>
        <v>0</v>
      </c>
      <c r="IH11" s="171">
        <v>0.63600000000000001</v>
      </c>
      <c r="II11" s="171">
        <v>0</v>
      </c>
      <c r="IJ11" s="171">
        <v>20.836010000000002</v>
      </c>
      <c r="IK11" s="171">
        <v>0</v>
      </c>
      <c r="IL11" s="171">
        <f t="shared" si="97"/>
        <v>20.200010000000002</v>
      </c>
      <c r="IM11" s="171">
        <f t="shared" si="98"/>
        <v>0</v>
      </c>
      <c r="IN11" s="171">
        <v>0</v>
      </c>
      <c r="IO11" s="171">
        <v>0</v>
      </c>
      <c r="IP11" s="171">
        <v>0</v>
      </c>
      <c r="IQ11" s="171">
        <v>0</v>
      </c>
      <c r="IR11" s="171">
        <f t="shared" si="99"/>
        <v>0</v>
      </c>
      <c r="IS11" s="171">
        <f t="shared" si="100"/>
        <v>0</v>
      </c>
      <c r="IT11" s="171">
        <v>5078.3171600000005</v>
      </c>
      <c r="IU11" s="171">
        <v>0</v>
      </c>
      <c r="IV11" s="171">
        <v>5831.3901599999999</v>
      </c>
      <c r="IW11" s="171">
        <v>0</v>
      </c>
      <c r="IX11" s="171">
        <f t="shared" si="101"/>
        <v>753.07299999999941</v>
      </c>
      <c r="IY11" s="171">
        <f t="shared" si="102"/>
        <v>0</v>
      </c>
      <c r="JB11" s="171">
        <f t="shared" si="103"/>
        <v>0</v>
      </c>
      <c r="JE11" s="171">
        <f t="shared" si="104"/>
        <v>0</v>
      </c>
      <c r="JF11" s="171">
        <v>0</v>
      </c>
      <c r="JG11" s="171">
        <v>0</v>
      </c>
      <c r="JH11" s="171">
        <f t="shared" si="105"/>
        <v>0</v>
      </c>
      <c r="JI11" s="171">
        <v>0</v>
      </c>
      <c r="JJ11" s="171">
        <v>0</v>
      </c>
      <c r="JK11" s="171">
        <f t="shared" si="106"/>
        <v>0</v>
      </c>
      <c r="JL11" s="171">
        <v>0</v>
      </c>
      <c r="JM11" s="171">
        <v>0</v>
      </c>
      <c r="JN11" s="171">
        <f t="shared" si="107"/>
        <v>0</v>
      </c>
      <c r="JO11" s="171">
        <v>0</v>
      </c>
      <c r="JP11" s="171">
        <v>0</v>
      </c>
      <c r="JQ11" s="171">
        <f t="shared" si="108"/>
        <v>0</v>
      </c>
      <c r="JR11" s="171">
        <v>0</v>
      </c>
      <c r="JS11" s="171">
        <v>0</v>
      </c>
      <c r="JT11" s="171">
        <f t="shared" si="109"/>
        <v>0</v>
      </c>
      <c r="JU11" s="171">
        <v>0</v>
      </c>
      <c r="JV11" s="171">
        <v>0</v>
      </c>
      <c r="JW11" s="171">
        <f t="shared" si="110"/>
        <v>0</v>
      </c>
      <c r="JX11" s="171">
        <v>0</v>
      </c>
      <c r="JY11" s="171">
        <v>0</v>
      </c>
      <c r="JZ11" s="171">
        <f t="shared" si="111"/>
        <v>0</v>
      </c>
      <c r="KA11" s="171">
        <v>3754.1956700000001</v>
      </c>
      <c r="KC11" s="171">
        <v>3578.0706100000002</v>
      </c>
      <c r="KE11" s="171">
        <f t="shared" si="112"/>
        <v>-176.12505999999985</v>
      </c>
      <c r="KF11" s="171">
        <f t="shared" si="113"/>
        <v>0</v>
      </c>
    </row>
    <row r="12" spans="1:292" s="171" customFormat="1" x14ac:dyDescent="0.25">
      <c r="A12" s="169" t="s">
        <v>156</v>
      </c>
      <c r="B12" s="170">
        <v>0</v>
      </c>
      <c r="C12" s="170">
        <v>817794.27341999998</v>
      </c>
      <c r="D12" s="170">
        <v>188063.13261999999</v>
      </c>
      <c r="E12" s="170">
        <v>18682.109530000002</v>
      </c>
      <c r="F12" s="171">
        <f t="shared" si="19"/>
        <v>1024539.51557</v>
      </c>
      <c r="G12" s="170">
        <v>0</v>
      </c>
      <c r="H12" s="170">
        <v>813582.37516000005</v>
      </c>
      <c r="I12" s="170">
        <v>177190.49867999999</v>
      </c>
      <c r="J12" s="170">
        <v>19199.98517</v>
      </c>
      <c r="K12" s="171">
        <f t="shared" si="20"/>
        <v>1009972.85901</v>
      </c>
      <c r="L12" s="170">
        <v>160450.31536000001</v>
      </c>
      <c r="M12" s="170">
        <v>0</v>
      </c>
      <c r="N12" s="170">
        <v>0</v>
      </c>
      <c r="O12" s="171">
        <f t="shared" si="21"/>
        <v>160450.31536000001</v>
      </c>
      <c r="P12" s="170">
        <v>149293.57144999999</v>
      </c>
      <c r="Q12" s="170">
        <v>0</v>
      </c>
      <c r="R12" s="170">
        <v>0</v>
      </c>
      <c r="S12" s="171">
        <f t="shared" si="22"/>
        <v>149293.57144999999</v>
      </c>
      <c r="T12" s="170">
        <v>0</v>
      </c>
      <c r="U12" s="170">
        <v>848678.99511999998</v>
      </c>
      <c r="V12" s="170">
        <v>206738.04433999999</v>
      </c>
      <c r="W12" s="170">
        <v>20401.060819999999</v>
      </c>
      <c r="X12" s="171">
        <f t="shared" si="23"/>
        <v>1075818.1002799999</v>
      </c>
      <c r="Y12" s="170">
        <v>0</v>
      </c>
      <c r="Z12" s="170">
        <v>793368.99791999999</v>
      </c>
      <c r="AA12" s="170">
        <v>190951.99413000001</v>
      </c>
      <c r="AB12" s="170">
        <v>19928.97566</v>
      </c>
      <c r="AC12" s="171">
        <f t="shared" si="24"/>
        <v>1004249.96771</v>
      </c>
      <c r="AD12" s="171">
        <f t="shared" si="25"/>
        <v>864089.20021000004</v>
      </c>
      <c r="AE12" s="171">
        <f t="shared" si="0"/>
        <v>860679.28756000008</v>
      </c>
      <c r="AF12" s="171">
        <f t="shared" si="26"/>
        <v>99.605374925508698</v>
      </c>
      <c r="AG12" s="172">
        <v>864089</v>
      </c>
      <c r="AH12" s="172">
        <f t="shared" si="27"/>
        <v>-0.2002100000390783</v>
      </c>
      <c r="AI12" s="172">
        <v>860679</v>
      </c>
      <c r="AJ12" s="172">
        <f t="shared" si="28"/>
        <v>-0.28756000008434057</v>
      </c>
      <c r="AK12" s="171">
        <f t="shared" si="1"/>
        <v>915367.78491999989</v>
      </c>
      <c r="AL12" s="171">
        <f t="shared" si="2"/>
        <v>854956.39626000007</v>
      </c>
      <c r="AM12" s="171">
        <f t="shared" si="29"/>
        <v>93.400315189672142</v>
      </c>
      <c r="AN12" s="173">
        <v>0</v>
      </c>
      <c r="AO12" s="173">
        <v>-21236.867539999999</v>
      </c>
      <c r="AP12" s="173">
        <v>-18674.91172</v>
      </c>
      <c r="AQ12" s="173">
        <v>-1718.95129</v>
      </c>
      <c r="AR12" s="171">
        <f t="shared" si="30"/>
        <v>-41630.730549999993</v>
      </c>
      <c r="AS12" s="173">
        <v>0</v>
      </c>
      <c r="AT12" s="173">
        <v>20213.377240000002</v>
      </c>
      <c r="AU12" s="173">
        <v>-13761.49545</v>
      </c>
      <c r="AV12" s="173">
        <v>-728.99049000000002</v>
      </c>
      <c r="AW12" s="171">
        <f t="shared" si="31"/>
        <v>5722.8913000000011</v>
      </c>
      <c r="AX12" s="170">
        <v>0</v>
      </c>
      <c r="AY12" s="170">
        <v>700228.37847</v>
      </c>
      <c r="AZ12" s="170">
        <v>148373.66436</v>
      </c>
      <c r="BA12" s="170">
        <v>12076.651</v>
      </c>
      <c r="BB12" s="312">
        <f t="shared" si="32"/>
        <v>0</v>
      </c>
      <c r="BC12" s="171">
        <f t="shared" si="33"/>
        <v>860678.69382999989</v>
      </c>
      <c r="BD12" s="170">
        <v>0</v>
      </c>
      <c r="BE12" s="170">
        <v>692149.22884999996</v>
      </c>
      <c r="BF12" s="170">
        <v>137280.85745000001</v>
      </c>
      <c r="BG12" s="170">
        <v>12012.714</v>
      </c>
      <c r="BH12" s="312">
        <f t="shared" si="3"/>
        <v>0</v>
      </c>
      <c r="BI12" s="171">
        <f t="shared" si="34"/>
        <v>841442.8003</v>
      </c>
      <c r="BJ12" s="171">
        <f t="shared" si="4"/>
        <v>700228.37846999988</v>
      </c>
      <c r="BK12" s="171">
        <f t="shared" si="5"/>
        <v>692149.22885000007</v>
      </c>
      <c r="BL12" s="171">
        <f t="shared" si="35"/>
        <v>98.846212197561485</v>
      </c>
      <c r="BM12" s="170">
        <v>0</v>
      </c>
      <c r="BN12" s="170">
        <v>117230.30834</v>
      </c>
      <c r="BO12" s="170">
        <v>38260.300000000003</v>
      </c>
      <c r="BP12" s="170">
        <v>6547.52304</v>
      </c>
      <c r="BQ12" s="171">
        <f t="shared" si="36"/>
        <v>162038.13138000001</v>
      </c>
      <c r="BR12" s="171">
        <f t="shared" si="6"/>
        <v>162038.13138000001</v>
      </c>
      <c r="BS12" s="170">
        <v>0</v>
      </c>
      <c r="BT12" s="170">
        <v>121185.45907</v>
      </c>
      <c r="BU12" s="170">
        <v>38480.472970000003</v>
      </c>
      <c r="BV12" s="170">
        <v>6829.3356800000001</v>
      </c>
      <c r="BW12" s="171">
        <f t="shared" si="37"/>
        <v>166495.26771999997</v>
      </c>
      <c r="BX12" s="171">
        <f t="shared" si="7"/>
        <v>166495.26771999997</v>
      </c>
      <c r="BY12" s="171">
        <v>15370.05953</v>
      </c>
      <c r="BZ12" s="173">
        <v>13695</v>
      </c>
      <c r="CA12" s="171">
        <f t="shared" si="38"/>
        <v>13695</v>
      </c>
      <c r="CB12" s="173">
        <v>13957.86196</v>
      </c>
      <c r="CC12" s="171">
        <f t="shared" si="38"/>
        <v>13957.86196</v>
      </c>
      <c r="CD12" s="171">
        <f t="shared" si="8"/>
        <v>101.91940094925157</v>
      </c>
      <c r="CE12" s="171">
        <f t="shared" si="39"/>
        <v>-9.1879772309509065</v>
      </c>
      <c r="CF12" s="173">
        <v>16121.997069999999</v>
      </c>
      <c r="CG12" s="171">
        <f t="shared" si="40"/>
        <v>16121.997069999999</v>
      </c>
      <c r="CH12" s="269">
        <v>16095.851849999999</v>
      </c>
      <c r="CI12" s="171">
        <f t="shared" si="41"/>
        <v>16095.851849999999</v>
      </c>
      <c r="CJ12" s="171">
        <f t="shared" si="9"/>
        <v>99.837828899940362</v>
      </c>
      <c r="CK12" s="173">
        <v>16024</v>
      </c>
      <c r="CL12" s="171">
        <f t="shared" si="42"/>
        <v>16024</v>
      </c>
      <c r="CM12" s="173">
        <v>18634.571189999999</v>
      </c>
      <c r="CN12" s="171">
        <f t="shared" si="43"/>
        <v>18634.571189999999</v>
      </c>
      <c r="CO12" s="173">
        <v>16686.740750000001</v>
      </c>
      <c r="CP12" s="171">
        <f t="shared" si="44"/>
        <v>16686.740750000001</v>
      </c>
      <c r="CQ12" s="171">
        <f t="shared" si="10"/>
        <v>104.13592579880179</v>
      </c>
      <c r="CR12" s="171">
        <f t="shared" si="45"/>
        <v>-1947.8304399999979</v>
      </c>
      <c r="CS12" s="171">
        <f t="shared" si="46"/>
        <v>-10.452778441423305</v>
      </c>
      <c r="CT12" s="171">
        <v>21923.199970000001</v>
      </c>
      <c r="CU12" s="173">
        <v>20757.723040000001</v>
      </c>
      <c r="CV12" s="171">
        <f t="shared" si="47"/>
        <v>20757.723040000001</v>
      </c>
      <c r="CW12" s="173">
        <v>26107.591950000002</v>
      </c>
      <c r="CX12" s="171">
        <f t="shared" ref="CX12" si="116">(CW12)</f>
        <v>26107.591950000002</v>
      </c>
      <c r="CY12" s="171">
        <f t="shared" si="11"/>
        <v>125.77290823126812</v>
      </c>
      <c r="CZ12" s="171">
        <f t="shared" si="49"/>
        <v>19.086593132964069</v>
      </c>
      <c r="DA12" s="171">
        <v>41956.583530000004</v>
      </c>
      <c r="DB12" s="171">
        <v>10770.19679</v>
      </c>
      <c r="DC12" s="173">
        <v>47679.474829999999</v>
      </c>
      <c r="DD12" s="171">
        <f t="shared" si="50"/>
        <v>47679.474829999999</v>
      </c>
      <c r="DE12" s="173">
        <v>856.74471000000005</v>
      </c>
      <c r="DF12" s="171">
        <f t="shared" si="51"/>
        <v>856.74471000000005</v>
      </c>
      <c r="DG12" s="171">
        <f t="shared" si="12"/>
        <v>5722.8912999999957</v>
      </c>
      <c r="DH12" s="171">
        <f t="shared" si="13"/>
        <v>-9913.4520799999991</v>
      </c>
      <c r="DJ12" s="171">
        <v>0</v>
      </c>
      <c r="DK12" s="171">
        <f t="shared" si="52"/>
        <v>0</v>
      </c>
      <c r="DL12" s="170">
        <v>0</v>
      </c>
      <c r="DM12" s="170">
        <v>700563.96507999999</v>
      </c>
      <c r="DN12" s="170">
        <v>149802.83262</v>
      </c>
      <c r="DO12" s="170">
        <v>12134.58649</v>
      </c>
      <c r="DP12" s="171">
        <f t="shared" si="53"/>
        <v>862501.38419000001</v>
      </c>
      <c r="DQ12" s="170">
        <v>0</v>
      </c>
      <c r="DR12" s="170">
        <v>692396.91608999996</v>
      </c>
      <c r="DS12" s="170">
        <v>138710.02570999999</v>
      </c>
      <c r="DT12" s="170">
        <v>12370.64949</v>
      </c>
      <c r="DU12" s="171">
        <f t="shared" si="54"/>
        <v>843477.59128999989</v>
      </c>
      <c r="DV12" s="174">
        <f t="shared" si="14"/>
        <v>702051.06883</v>
      </c>
      <c r="DW12" s="174">
        <f t="shared" si="15"/>
        <v>694184.01983999996</v>
      </c>
      <c r="DX12" s="171">
        <f t="shared" si="55"/>
        <v>98.879419270294562</v>
      </c>
      <c r="DY12" s="170">
        <v>68402</v>
      </c>
      <c r="DZ12" s="171">
        <f t="shared" si="56"/>
        <v>68402</v>
      </c>
      <c r="EA12" s="171">
        <v>35</v>
      </c>
      <c r="EB12" s="171">
        <f t="shared" si="57"/>
        <v>195434.28571428571</v>
      </c>
      <c r="EC12" s="171">
        <f t="shared" si="58"/>
        <v>68402</v>
      </c>
      <c r="ED12" s="171">
        <f t="shared" si="59"/>
        <v>0</v>
      </c>
      <c r="EE12" s="170">
        <v>69845.547279999999</v>
      </c>
      <c r="EF12" s="171">
        <f t="shared" si="60"/>
        <v>69845.547279999999</v>
      </c>
      <c r="EG12" s="171">
        <f t="shared" si="61"/>
        <v>199558.70651428573</v>
      </c>
      <c r="EH12" s="171">
        <f t="shared" si="62"/>
        <v>69845.547279999999</v>
      </c>
      <c r="EI12" s="171">
        <f t="shared" si="63"/>
        <v>0</v>
      </c>
      <c r="EJ12" s="173">
        <v>15295.177530000001</v>
      </c>
      <c r="EK12" s="171">
        <f t="shared" si="64"/>
        <v>15295.177530000001</v>
      </c>
      <c r="EL12" s="171">
        <v>13200</v>
      </c>
      <c r="EM12" s="171">
        <v>13410.50136</v>
      </c>
      <c r="EN12" s="171">
        <f t="shared" si="16"/>
        <v>-1884.6761700000006</v>
      </c>
      <c r="EO12" s="171">
        <f t="shared" si="65"/>
        <v>-12.322028732934882</v>
      </c>
      <c r="EV12" s="173">
        <v>74.882000000000005</v>
      </c>
      <c r="EW12" s="171">
        <f t="shared" si="66"/>
        <v>74.882000000000005</v>
      </c>
      <c r="EX12" s="313">
        <v>495</v>
      </c>
      <c r="EY12" s="171">
        <v>503.0136</v>
      </c>
      <c r="EZ12" s="171">
        <f t="shared" si="17"/>
        <v>428.13159999999999</v>
      </c>
      <c r="FA12" s="171">
        <f t="shared" si="67"/>
        <v>571.74167356641112</v>
      </c>
      <c r="FB12" s="173">
        <v>0</v>
      </c>
      <c r="FC12" s="171">
        <f t="shared" si="68"/>
        <v>0</v>
      </c>
      <c r="FD12" s="171">
        <v>0</v>
      </c>
      <c r="FE12" s="171">
        <v>44.347000000000001</v>
      </c>
      <c r="FF12" s="171">
        <f t="shared" si="69"/>
        <v>44.347000000000001</v>
      </c>
      <c r="FG12" s="171" t="e">
        <f t="shared" si="70"/>
        <v>#DIV/0!</v>
      </c>
      <c r="FH12" s="171">
        <v>42306.537920000032</v>
      </c>
      <c r="FI12" s="171">
        <v>39135.971619999997</v>
      </c>
      <c r="FJ12" s="171">
        <v>43757.389010000043</v>
      </c>
      <c r="FK12" s="171">
        <v>42658.029670000004</v>
      </c>
      <c r="FL12" s="171">
        <f t="shared" si="71"/>
        <v>1450.851090000011</v>
      </c>
      <c r="FM12" s="171">
        <f t="shared" si="72"/>
        <v>3522.0580500000069</v>
      </c>
      <c r="FN12" s="171">
        <v>5273.6152300000003</v>
      </c>
      <c r="FO12" s="171">
        <v>5273.6152300000003</v>
      </c>
      <c r="FP12" s="171">
        <v>5647.73279</v>
      </c>
      <c r="FQ12" s="171">
        <v>5647.73279</v>
      </c>
      <c r="FR12" s="171">
        <f t="shared" si="73"/>
        <v>374.11755999999968</v>
      </c>
      <c r="FS12" s="171">
        <f t="shared" si="74"/>
        <v>374.11755999999968</v>
      </c>
      <c r="FT12" s="171">
        <v>3789.7656499999998</v>
      </c>
      <c r="FU12" s="171">
        <v>3789.7656499999998</v>
      </c>
      <c r="FV12" s="171">
        <v>6375.8060100000002</v>
      </c>
      <c r="FW12" s="171">
        <v>6375.8060100000002</v>
      </c>
      <c r="FX12" s="171">
        <f t="shared" si="75"/>
        <v>2586.0403600000004</v>
      </c>
      <c r="FY12" s="171">
        <f t="shared" si="76"/>
        <v>2586.0403600000004</v>
      </c>
      <c r="FZ12" s="171">
        <v>7728.2490399999997</v>
      </c>
      <c r="GA12" s="171">
        <v>7728.2490399999997</v>
      </c>
      <c r="GB12" s="171">
        <v>5343.3918199999998</v>
      </c>
      <c r="GC12" s="171">
        <v>5343.3918199999998</v>
      </c>
      <c r="GD12" s="171">
        <f t="shared" si="77"/>
        <v>-2384.8572199999999</v>
      </c>
      <c r="GE12" s="171">
        <f t="shared" si="78"/>
        <v>-2384.8572199999999</v>
      </c>
      <c r="GJ12" s="171">
        <f t="shared" si="79"/>
        <v>0</v>
      </c>
      <c r="GK12" s="171">
        <f t="shared" si="80"/>
        <v>0</v>
      </c>
      <c r="GL12" s="171">
        <v>6695.31142</v>
      </c>
      <c r="GM12" s="171">
        <v>6695.31142</v>
      </c>
      <c r="GN12" s="171">
        <v>5738.7055300000002</v>
      </c>
      <c r="GO12" s="171">
        <v>5738.7055300000002</v>
      </c>
      <c r="GP12" s="171">
        <f t="shared" si="81"/>
        <v>-956.60588999999982</v>
      </c>
      <c r="GQ12" s="171">
        <f t="shared" si="82"/>
        <v>-956.60588999999982</v>
      </c>
      <c r="GV12" s="171">
        <f t="shared" si="83"/>
        <v>0</v>
      </c>
      <c r="GW12" s="171">
        <f t="shared" si="84"/>
        <v>0</v>
      </c>
      <c r="HB12" s="171">
        <f t="shared" si="85"/>
        <v>0</v>
      </c>
      <c r="HC12" s="171">
        <f t="shared" si="86"/>
        <v>0</v>
      </c>
      <c r="HH12" s="171">
        <f t="shared" si="87"/>
        <v>0</v>
      </c>
      <c r="HI12" s="171">
        <f t="shared" si="88"/>
        <v>0</v>
      </c>
      <c r="HN12" s="171">
        <f t="shared" si="89"/>
        <v>0</v>
      </c>
      <c r="HO12" s="171">
        <f t="shared" si="90"/>
        <v>0</v>
      </c>
      <c r="HP12" s="171">
        <v>276.05038000000002</v>
      </c>
      <c r="HQ12" s="171">
        <v>177.77873</v>
      </c>
      <c r="HR12" s="171">
        <v>112.9888</v>
      </c>
      <c r="HS12" s="171">
        <v>2.9794999999999998</v>
      </c>
      <c r="HT12" s="171">
        <f t="shared" si="91"/>
        <v>-163.06158000000002</v>
      </c>
      <c r="HU12" s="171">
        <f t="shared" si="92"/>
        <v>-174.79922999999999</v>
      </c>
      <c r="HV12" s="171">
        <v>0</v>
      </c>
      <c r="HW12" s="171">
        <v>0</v>
      </c>
      <c r="HX12" s="171">
        <v>100.72217000000001</v>
      </c>
      <c r="HY12" s="171">
        <v>100.72217000000001</v>
      </c>
      <c r="HZ12" s="171">
        <f t="shared" si="93"/>
        <v>100.72217000000001</v>
      </c>
      <c r="IA12" s="171">
        <f t="shared" si="94"/>
        <v>100.72217000000001</v>
      </c>
      <c r="IB12" s="171">
        <v>0</v>
      </c>
      <c r="IC12" s="171">
        <v>0</v>
      </c>
      <c r="ID12" s="171">
        <v>0</v>
      </c>
      <c r="IE12" s="171">
        <v>0</v>
      </c>
      <c r="IF12" s="171">
        <f t="shared" si="95"/>
        <v>0</v>
      </c>
      <c r="IG12" s="171">
        <f t="shared" si="96"/>
        <v>0</v>
      </c>
      <c r="IH12" s="171">
        <v>0</v>
      </c>
      <c r="II12" s="171">
        <v>0</v>
      </c>
      <c r="IJ12" s="171">
        <v>0</v>
      </c>
      <c r="IK12" s="171">
        <v>0</v>
      </c>
      <c r="IL12" s="171">
        <f t="shared" si="97"/>
        <v>0</v>
      </c>
      <c r="IM12" s="171">
        <f t="shared" si="98"/>
        <v>0</v>
      </c>
      <c r="IN12" s="171">
        <v>195.92232999999999</v>
      </c>
      <c r="IO12" s="171">
        <v>195.92214000000001</v>
      </c>
      <c r="IP12" s="171">
        <v>1469.0636</v>
      </c>
      <c r="IQ12" s="171">
        <v>1469.0636</v>
      </c>
      <c r="IR12" s="171">
        <f t="shared" si="99"/>
        <v>1273.1412700000001</v>
      </c>
      <c r="IS12" s="171">
        <f t="shared" si="100"/>
        <v>1273.1414599999998</v>
      </c>
      <c r="IT12" s="171">
        <v>14785.696889999999</v>
      </c>
      <c r="IU12" s="171">
        <v>1476.6486</v>
      </c>
      <c r="IV12" s="171">
        <v>24370.384099999999</v>
      </c>
      <c r="IW12" s="171">
        <v>5.9223400000000002</v>
      </c>
      <c r="IX12" s="171">
        <f t="shared" si="101"/>
        <v>9584.6872100000001</v>
      </c>
      <c r="IY12" s="171">
        <f t="shared" si="102"/>
        <v>-1470.7262599999999</v>
      </c>
      <c r="JB12" s="171">
        <f t="shared" si="103"/>
        <v>0</v>
      </c>
      <c r="JE12" s="171">
        <f t="shared" si="104"/>
        <v>0</v>
      </c>
      <c r="JF12" s="171">
        <v>164.17955000000001</v>
      </c>
      <c r="JG12" s="171">
        <v>0</v>
      </c>
      <c r="JH12" s="171">
        <f t="shared" si="105"/>
        <v>-164.17955000000001</v>
      </c>
      <c r="JI12" s="171">
        <v>39.515250000000002</v>
      </c>
      <c r="JJ12" s="171">
        <v>0</v>
      </c>
      <c r="JK12" s="171">
        <f t="shared" si="106"/>
        <v>-39.515250000000002</v>
      </c>
      <c r="JL12" s="171">
        <v>0</v>
      </c>
      <c r="JM12" s="171">
        <v>0</v>
      </c>
      <c r="JN12" s="171">
        <f t="shared" si="107"/>
        <v>0</v>
      </c>
      <c r="JO12" s="171">
        <v>0</v>
      </c>
      <c r="JP12" s="171">
        <v>0</v>
      </c>
      <c r="JQ12" s="171">
        <f t="shared" si="108"/>
        <v>0</v>
      </c>
      <c r="JR12" s="171">
        <v>0</v>
      </c>
      <c r="JS12" s="171">
        <v>0</v>
      </c>
      <c r="JT12" s="171">
        <f t="shared" si="109"/>
        <v>0</v>
      </c>
      <c r="JU12" s="171">
        <v>0</v>
      </c>
      <c r="JV12" s="171">
        <v>0</v>
      </c>
      <c r="JW12" s="171">
        <f t="shared" si="110"/>
        <v>0</v>
      </c>
      <c r="JX12" s="171">
        <v>0</v>
      </c>
      <c r="JY12" s="171">
        <v>0</v>
      </c>
      <c r="JZ12" s="171">
        <f t="shared" si="111"/>
        <v>0</v>
      </c>
      <c r="KA12" s="171">
        <v>6465.5657099999999</v>
      </c>
      <c r="KC12" s="171">
        <v>3671.3723500000001</v>
      </c>
      <c r="KE12" s="171">
        <f t="shared" si="112"/>
        <v>-2794.1933599999998</v>
      </c>
      <c r="KF12" s="171">
        <f t="shared" si="113"/>
        <v>0</v>
      </c>
    </row>
    <row r="13" spans="1:292" s="171" customFormat="1" x14ac:dyDescent="0.25">
      <c r="A13" s="169" t="s">
        <v>157</v>
      </c>
      <c r="B13" s="170">
        <v>0</v>
      </c>
      <c r="C13" s="170">
        <v>883042.33455000003</v>
      </c>
      <c r="D13" s="170">
        <v>65711.12255</v>
      </c>
      <c r="E13" s="170">
        <v>58737.702019999997</v>
      </c>
      <c r="F13" s="171">
        <f t="shared" si="19"/>
        <v>1007491.15912</v>
      </c>
      <c r="G13" s="170">
        <v>0</v>
      </c>
      <c r="H13" s="170">
        <v>880255.05752999999</v>
      </c>
      <c r="I13" s="170">
        <v>64796.528449999998</v>
      </c>
      <c r="J13" s="170">
        <v>57440.972150000001</v>
      </c>
      <c r="K13" s="171">
        <f t="shared" si="20"/>
        <v>1002492.55813</v>
      </c>
      <c r="L13" s="170">
        <v>61857.432839999994</v>
      </c>
      <c r="M13" s="170">
        <v>310.96154999999999</v>
      </c>
      <c r="N13" s="170">
        <v>230.89855</v>
      </c>
      <c r="O13" s="171">
        <f t="shared" si="21"/>
        <v>62399.292939999992</v>
      </c>
      <c r="P13" s="170">
        <v>60560.739819999988</v>
      </c>
      <c r="Q13" s="170">
        <v>310.96154999999999</v>
      </c>
      <c r="R13" s="170">
        <v>230.89855</v>
      </c>
      <c r="S13" s="171">
        <f t="shared" si="22"/>
        <v>61102.599919999986</v>
      </c>
      <c r="T13" s="170">
        <v>0</v>
      </c>
      <c r="U13" s="170">
        <v>905483.51633999997</v>
      </c>
      <c r="V13" s="170">
        <v>69711.12255</v>
      </c>
      <c r="W13" s="170">
        <v>61859.875549999997</v>
      </c>
      <c r="X13" s="171">
        <f t="shared" si="23"/>
        <v>1037054.5144399999</v>
      </c>
      <c r="Y13" s="170">
        <v>0</v>
      </c>
      <c r="Z13" s="170">
        <v>875381.32738999999</v>
      </c>
      <c r="AA13" s="170">
        <v>65839.860019999993</v>
      </c>
      <c r="AB13" s="170">
        <v>59088.762750000002</v>
      </c>
      <c r="AC13" s="171">
        <f t="shared" si="24"/>
        <v>1000309.95016</v>
      </c>
      <c r="AD13" s="171">
        <f t="shared" si="25"/>
        <v>945091.86618000001</v>
      </c>
      <c r="AE13" s="171">
        <f t="shared" si="0"/>
        <v>941389.95821000007</v>
      </c>
      <c r="AF13" s="171">
        <f t="shared" si="26"/>
        <v>99.608301784993358</v>
      </c>
      <c r="AG13" s="172">
        <v>945092</v>
      </c>
      <c r="AH13" s="172">
        <f t="shared" si="27"/>
        <v>0.13381999998819083</v>
      </c>
      <c r="AI13" s="172">
        <v>941390</v>
      </c>
      <c r="AJ13" s="172">
        <f t="shared" si="28"/>
        <v>4.178999993018806E-2</v>
      </c>
      <c r="AK13" s="171">
        <f t="shared" si="1"/>
        <v>974655.22149999999</v>
      </c>
      <c r="AL13" s="171">
        <f t="shared" si="2"/>
        <v>939207.35024000006</v>
      </c>
      <c r="AM13" s="171">
        <f t="shared" si="29"/>
        <v>96.363034796505232</v>
      </c>
      <c r="AN13" s="173">
        <v>0</v>
      </c>
      <c r="AO13" s="173">
        <v>-22655.53241</v>
      </c>
      <c r="AP13" s="173">
        <v>-4000</v>
      </c>
      <c r="AQ13" s="173">
        <v>-3122.17353</v>
      </c>
      <c r="AR13" s="171">
        <f t="shared" si="30"/>
        <v>-29777.70594</v>
      </c>
      <c r="AS13" s="173">
        <v>0</v>
      </c>
      <c r="AT13" s="173">
        <v>4873.7301399999997</v>
      </c>
      <c r="AU13" s="173">
        <v>-1043.3315700000001</v>
      </c>
      <c r="AV13" s="173">
        <v>-1647.7906</v>
      </c>
      <c r="AW13" s="171">
        <f t="shared" si="31"/>
        <v>2182.6079699999991</v>
      </c>
      <c r="AX13" s="170">
        <v>0</v>
      </c>
      <c r="AY13" s="170">
        <v>757188.37898000004</v>
      </c>
      <c r="AZ13" s="170">
        <v>18262.427479999998</v>
      </c>
      <c r="BA13" s="170">
        <v>43595.005360000003</v>
      </c>
      <c r="BB13" s="312">
        <f t="shared" si="32"/>
        <v>0</v>
      </c>
      <c r="BC13" s="171">
        <f t="shared" si="33"/>
        <v>819045.81181999994</v>
      </c>
      <c r="BD13" s="170">
        <v>0</v>
      </c>
      <c r="BE13" s="170">
        <v>753390.19403999997</v>
      </c>
      <c r="BF13" s="170">
        <v>16971.49037</v>
      </c>
      <c r="BG13" s="170">
        <v>43589.249450000003</v>
      </c>
      <c r="BH13" s="312">
        <f t="shared" si="3"/>
        <v>0</v>
      </c>
      <c r="BI13" s="171">
        <f t="shared" si="34"/>
        <v>813950.93385999999</v>
      </c>
      <c r="BJ13" s="171">
        <f t="shared" si="4"/>
        <v>756646.51887999999</v>
      </c>
      <c r="BK13" s="171">
        <f t="shared" si="5"/>
        <v>752848.33394000004</v>
      </c>
      <c r="BL13" s="171">
        <f t="shared" si="35"/>
        <v>99.498023866465132</v>
      </c>
      <c r="BM13" s="170">
        <v>0</v>
      </c>
      <c r="BN13" s="170">
        <v>125900</v>
      </c>
      <c r="BO13" s="170">
        <v>47386.315719999999</v>
      </c>
      <c r="BP13" s="170">
        <v>14878</v>
      </c>
      <c r="BQ13" s="171">
        <f t="shared" si="36"/>
        <v>188164.31572000001</v>
      </c>
      <c r="BR13" s="171">
        <f t="shared" si="6"/>
        <v>188164.31572000001</v>
      </c>
      <c r="BS13" s="170">
        <v>0</v>
      </c>
      <c r="BT13" s="170">
        <v>126910.90792</v>
      </c>
      <c r="BU13" s="170">
        <v>47752.959280000003</v>
      </c>
      <c r="BV13" s="170">
        <v>13587.026040000001</v>
      </c>
      <c r="BW13" s="171">
        <f t="shared" si="37"/>
        <v>188250.89324</v>
      </c>
      <c r="BX13" s="171">
        <f t="shared" si="7"/>
        <v>188250.89324</v>
      </c>
      <c r="BY13" s="171">
        <v>13683.571190000001</v>
      </c>
      <c r="BZ13" s="173">
        <v>13117.2</v>
      </c>
      <c r="CA13" s="171">
        <f t="shared" si="38"/>
        <v>13117.2</v>
      </c>
      <c r="CB13" s="173">
        <v>13387.650149999999</v>
      </c>
      <c r="CC13" s="171">
        <f t="shared" si="38"/>
        <v>13387.650149999999</v>
      </c>
      <c r="CD13" s="171">
        <f t="shared" si="8"/>
        <v>102.06179786844753</v>
      </c>
      <c r="CE13" s="171">
        <f t="shared" si="39"/>
        <v>-2.1626009459888706</v>
      </c>
      <c r="CF13" s="173">
        <v>4618.3513000000003</v>
      </c>
      <c r="CG13" s="171">
        <f t="shared" si="40"/>
        <v>4618.3513000000003</v>
      </c>
      <c r="CH13" s="269">
        <v>5031.0715899999996</v>
      </c>
      <c r="CI13" s="171">
        <f t="shared" si="41"/>
        <v>5031.0715899999996</v>
      </c>
      <c r="CJ13" s="171">
        <f t="shared" si="9"/>
        <v>108.93652871317951</v>
      </c>
      <c r="CK13" s="173">
        <v>16494</v>
      </c>
      <c r="CL13" s="171">
        <f t="shared" si="42"/>
        <v>16494</v>
      </c>
      <c r="CM13" s="173">
        <v>22350.301510000001</v>
      </c>
      <c r="CN13" s="171">
        <f t="shared" si="43"/>
        <v>22350.301510000001</v>
      </c>
      <c r="CO13" s="173">
        <v>14649.016509999999</v>
      </c>
      <c r="CP13" s="171">
        <f t="shared" si="44"/>
        <v>14649.016509999999</v>
      </c>
      <c r="CQ13" s="171">
        <f t="shared" si="10"/>
        <v>88.814214320358914</v>
      </c>
      <c r="CR13" s="171">
        <f t="shared" si="45"/>
        <v>-7701.2850000000017</v>
      </c>
      <c r="CS13" s="171">
        <f t="shared" si="46"/>
        <v>-34.457186166165513</v>
      </c>
      <c r="CT13" s="171">
        <v>12780.87112</v>
      </c>
      <c r="CU13" s="173">
        <v>10102.496789999999</v>
      </c>
      <c r="CV13" s="171">
        <f t="shared" si="47"/>
        <v>10102.496789999999</v>
      </c>
      <c r="CW13" s="173">
        <v>11577.60845</v>
      </c>
      <c r="CX13" s="171">
        <f t="shared" ref="CX13" si="117">(CW13)</f>
        <v>11577.60845</v>
      </c>
      <c r="CY13" s="171">
        <f t="shared" si="11"/>
        <v>114.60145635938382</v>
      </c>
      <c r="CZ13" s="171">
        <f t="shared" si="49"/>
        <v>-9.4145591384384488</v>
      </c>
      <c r="DA13" s="171">
        <v>32123.130349999999</v>
      </c>
      <c r="DB13" s="171">
        <v>5055.7578999999996</v>
      </c>
      <c r="DC13" s="173">
        <v>34305.738319999997</v>
      </c>
      <c r="DD13" s="171">
        <f t="shared" si="50"/>
        <v>34305.738319999997</v>
      </c>
      <c r="DE13" s="173">
        <v>1914.87393</v>
      </c>
      <c r="DF13" s="171">
        <f t="shared" si="51"/>
        <v>1914.87393</v>
      </c>
      <c r="DG13" s="171">
        <f t="shared" si="12"/>
        <v>2182.6079699999973</v>
      </c>
      <c r="DH13" s="171">
        <f t="shared" si="13"/>
        <v>-3140.8839699999999</v>
      </c>
      <c r="DJ13" s="171">
        <v>0</v>
      </c>
      <c r="DK13" s="171">
        <f t="shared" si="52"/>
        <v>0</v>
      </c>
      <c r="DL13" s="170">
        <v>0</v>
      </c>
      <c r="DM13" s="170">
        <v>757142.33455000003</v>
      </c>
      <c r="DN13" s="170">
        <v>18324.806830000001</v>
      </c>
      <c r="DO13" s="170">
        <v>43859.702019999997</v>
      </c>
      <c r="DP13" s="171">
        <f t="shared" si="53"/>
        <v>819326.84340000001</v>
      </c>
      <c r="DQ13" s="170">
        <v>0</v>
      </c>
      <c r="DR13" s="170">
        <v>753344.14960999996</v>
      </c>
      <c r="DS13" s="170">
        <v>17043.569169999999</v>
      </c>
      <c r="DT13" s="170">
        <v>43853.946109999997</v>
      </c>
      <c r="DU13" s="171">
        <f t="shared" si="54"/>
        <v>814241.66489000001</v>
      </c>
      <c r="DV13" s="174">
        <f t="shared" si="14"/>
        <v>756927.55046000006</v>
      </c>
      <c r="DW13" s="174">
        <f t="shared" si="15"/>
        <v>753139.06497000006</v>
      </c>
      <c r="DX13" s="171">
        <f t="shared" si="55"/>
        <v>99.499491663674064</v>
      </c>
      <c r="DY13" s="170">
        <v>122500.01330999999</v>
      </c>
      <c r="DZ13" s="171">
        <f t="shared" si="56"/>
        <v>122500.01330999999</v>
      </c>
      <c r="EA13" s="171">
        <v>35</v>
      </c>
      <c r="EB13" s="171">
        <f t="shared" si="57"/>
        <v>350000.03802857146</v>
      </c>
      <c r="EC13" s="171">
        <f t="shared" si="58"/>
        <v>122500.01331000001</v>
      </c>
      <c r="ED13" s="171">
        <f t="shared" si="59"/>
        <v>0</v>
      </c>
      <c r="EE13" s="170">
        <v>122738.35794</v>
      </c>
      <c r="EF13" s="171">
        <f t="shared" si="60"/>
        <v>122738.35794</v>
      </c>
      <c r="EG13" s="171">
        <f t="shared" si="61"/>
        <v>350681.0226857143</v>
      </c>
      <c r="EH13" s="171">
        <f t="shared" si="62"/>
        <v>122738.35794</v>
      </c>
      <c r="EI13" s="171">
        <f t="shared" si="63"/>
        <v>0</v>
      </c>
      <c r="EJ13" s="173">
        <v>13085.99951</v>
      </c>
      <c r="EK13" s="171">
        <f t="shared" si="64"/>
        <v>13085.99951</v>
      </c>
      <c r="EL13" s="171">
        <v>12746</v>
      </c>
      <c r="EM13" s="171">
        <v>12985.9406</v>
      </c>
      <c r="EN13" s="171">
        <f t="shared" si="16"/>
        <v>-100.05890999999974</v>
      </c>
      <c r="EO13" s="171">
        <f t="shared" si="65"/>
        <v>-0.7646256590758469</v>
      </c>
      <c r="EV13" s="173">
        <v>533.42700000000002</v>
      </c>
      <c r="EW13" s="171">
        <f t="shared" si="66"/>
        <v>533.42700000000002</v>
      </c>
      <c r="EX13" s="313">
        <v>371.2</v>
      </c>
      <c r="EY13" s="171">
        <v>401.66755000000001</v>
      </c>
      <c r="EZ13" s="171">
        <f t="shared" si="17"/>
        <v>-131.75945000000002</v>
      </c>
      <c r="FA13" s="171">
        <f t="shared" si="67"/>
        <v>-24.700558839353832</v>
      </c>
      <c r="FB13" s="173">
        <v>64.144679999999994</v>
      </c>
      <c r="FC13" s="171">
        <f t="shared" si="68"/>
        <v>64.144679999999994</v>
      </c>
      <c r="FD13" s="171">
        <v>0</v>
      </c>
      <c r="FE13" s="171">
        <v>4.2000000000000003E-2</v>
      </c>
      <c r="FF13" s="171">
        <f t="shared" si="69"/>
        <v>-64.102679999999992</v>
      </c>
      <c r="FG13" s="171">
        <f t="shared" si="70"/>
        <v>-99.934523018900393</v>
      </c>
      <c r="FH13" s="171">
        <v>19779.031650000019</v>
      </c>
      <c r="FI13" s="171">
        <v>6893.3279599999996</v>
      </c>
      <c r="FJ13" s="171">
        <v>19541.320569999982</v>
      </c>
      <c r="FK13" s="171">
        <v>5800.2504200000003</v>
      </c>
      <c r="FL13" s="171">
        <f t="shared" si="71"/>
        <v>-237.71108000003733</v>
      </c>
      <c r="FM13" s="171">
        <f t="shared" si="72"/>
        <v>-1093.0775399999993</v>
      </c>
      <c r="FN13" s="171">
        <v>6386.9439599999996</v>
      </c>
      <c r="FO13" s="171">
        <v>6382.8226699999996</v>
      </c>
      <c r="FP13" s="171">
        <v>5793.9031199999999</v>
      </c>
      <c r="FQ13" s="171">
        <v>5289.7451300000002</v>
      </c>
      <c r="FR13" s="171">
        <f t="shared" si="73"/>
        <v>-593.04083999999966</v>
      </c>
      <c r="FS13" s="171">
        <f t="shared" si="74"/>
        <v>-1093.0775399999993</v>
      </c>
      <c r="FT13" s="171">
        <v>34.320529999999998</v>
      </c>
      <c r="FU13" s="171">
        <v>0</v>
      </c>
      <c r="FV13" s="171">
        <v>59.650080000000003</v>
      </c>
      <c r="FW13" s="171">
        <v>0</v>
      </c>
      <c r="FX13" s="171">
        <f t="shared" si="75"/>
        <v>25.329550000000005</v>
      </c>
      <c r="FY13" s="171">
        <f t="shared" si="76"/>
        <v>0</v>
      </c>
      <c r="FZ13" s="171">
        <v>586.37828000000002</v>
      </c>
      <c r="GA13" s="171">
        <v>510.50529</v>
      </c>
      <c r="GB13" s="171">
        <v>533.14557000000002</v>
      </c>
      <c r="GC13" s="171">
        <v>510.50529</v>
      </c>
      <c r="GD13" s="171">
        <f t="shared" si="77"/>
        <v>-53.232709999999997</v>
      </c>
      <c r="GE13" s="171">
        <f t="shared" si="78"/>
        <v>0</v>
      </c>
      <c r="GJ13" s="171">
        <f t="shared" si="79"/>
        <v>0</v>
      </c>
      <c r="GK13" s="171">
        <f t="shared" si="80"/>
        <v>0</v>
      </c>
      <c r="GL13" s="171">
        <v>0</v>
      </c>
      <c r="GM13" s="171">
        <v>0</v>
      </c>
      <c r="GN13" s="171">
        <v>0</v>
      </c>
      <c r="GO13" s="171">
        <v>0</v>
      </c>
      <c r="GP13" s="171">
        <f t="shared" si="81"/>
        <v>0</v>
      </c>
      <c r="GQ13" s="171">
        <f t="shared" si="82"/>
        <v>0</v>
      </c>
      <c r="GV13" s="171">
        <f t="shared" si="83"/>
        <v>0</v>
      </c>
      <c r="GW13" s="171">
        <f t="shared" si="84"/>
        <v>0</v>
      </c>
      <c r="HB13" s="171">
        <f t="shared" si="85"/>
        <v>0</v>
      </c>
      <c r="HC13" s="171">
        <f t="shared" si="86"/>
        <v>0</v>
      </c>
      <c r="HH13" s="171">
        <f t="shared" si="87"/>
        <v>0</v>
      </c>
      <c r="HI13" s="171">
        <f t="shared" si="88"/>
        <v>0</v>
      </c>
      <c r="HN13" s="171">
        <f t="shared" si="89"/>
        <v>0</v>
      </c>
      <c r="HO13" s="171">
        <f t="shared" si="90"/>
        <v>0</v>
      </c>
      <c r="HP13" s="171">
        <v>926.54862000000003</v>
      </c>
      <c r="HQ13" s="171">
        <v>0</v>
      </c>
      <c r="HR13" s="171">
        <v>416.83022</v>
      </c>
      <c r="HS13" s="171">
        <v>0</v>
      </c>
      <c r="HT13" s="171">
        <f t="shared" si="91"/>
        <v>-509.71840000000003</v>
      </c>
      <c r="HU13" s="171">
        <f t="shared" si="92"/>
        <v>0</v>
      </c>
      <c r="HV13" s="171">
        <v>0</v>
      </c>
      <c r="HW13" s="171">
        <v>0</v>
      </c>
      <c r="HX13" s="171">
        <v>0</v>
      </c>
      <c r="HY13" s="171">
        <v>0</v>
      </c>
      <c r="HZ13" s="171">
        <f t="shared" si="93"/>
        <v>0</v>
      </c>
      <c r="IA13" s="171">
        <f t="shared" si="94"/>
        <v>0</v>
      </c>
      <c r="IB13" s="171">
        <v>0</v>
      </c>
      <c r="IC13" s="171">
        <v>0</v>
      </c>
      <c r="ID13" s="171">
        <v>0</v>
      </c>
      <c r="IE13" s="171">
        <v>0</v>
      </c>
      <c r="IF13" s="171">
        <f t="shared" si="95"/>
        <v>0</v>
      </c>
      <c r="IG13" s="171">
        <f t="shared" si="96"/>
        <v>0</v>
      </c>
      <c r="IH13" s="171">
        <v>9628.4057300000004</v>
      </c>
      <c r="II13" s="171">
        <v>0</v>
      </c>
      <c r="IJ13" s="171">
        <v>9628.4057300000004</v>
      </c>
      <c r="IK13" s="171">
        <v>0</v>
      </c>
      <c r="IL13" s="171">
        <f t="shared" si="97"/>
        <v>0</v>
      </c>
      <c r="IM13" s="171">
        <f t="shared" si="98"/>
        <v>0</v>
      </c>
      <c r="IN13" s="171">
        <v>0</v>
      </c>
      <c r="IO13" s="171">
        <v>0</v>
      </c>
      <c r="IP13" s="171">
        <v>0</v>
      </c>
      <c r="IQ13" s="171">
        <v>0</v>
      </c>
      <c r="IR13" s="171">
        <f t="shared" si="99"/>
        <v>0</v>
      </c>
      <c r="IS13" s="171">
        <f t="shared" si="100"/>
        <v>0</v>
      </c>
      <c r="IT13" s="171">
        <v>28291.363909999996</v>
      </c>
      <c r="IU13" s="171">
        <v>10183.287700000001</v>
      </c>
      <c r="IV13" s="171">
        <v>18951.585499999997</v>
      </c>
      <c r="IW13" s="171">
        <v>6365.8887699999996</v>
      </c>
      <c r="IX13" s="171">
        <f t="shared" si="101"/>
        <v>-9339.778409999999</v>
      </c>
      <c r="IY13" s="171">
        <f t="shared" si="102"/>
        <v>-3817.3989300000012</v>
      </c>
      <c r="JB13" s="171">
        <f t="shared" si="103"/>
        <v>0</v>
      </c>
      <c r="JE13" s="171">
        <f t="shared" si="104"/>
        <v>0</v>
      </c>
      <c r="JF13" s="171">
        <v>8153.7337900000002</v>
      </c>
      <c r="JG13" s="171">
        <v>5033.4259700000002</v>
      </c>
      <c r="JH13" s="171">
        <f t="shared" si="105"/>
        <v>-3120.30782</v>
      </c>
      <c r="JI13" s="171">
        <v>0</v>
      </c>
      <c r="JJ13" s="171">
        <v>0</v>
      </c>
      <c r="JK13" s="171">
        <f t="shared" si="106"/>
        <v>0</v>
      </c>
      <c r="JL13" s="171">
        <v>1180.44659</v>
      </c>
      <c r="JM13" s="171">
        <v>882.55547999999999</v>
      </c>
      <c r="JN13" s="171">
        <f t="shared" si="107"/>
        <v>-297.89111000000003</v>
      </c>
      <c r="JO13" s="171">
        <v>0</v>
      </c>
      <c r="JP13" s="171">
        <v>0</v>
      </c>
      <c r="JQ13" s="171">
        <f t="shared" si="108"/>
        <v>0</v>
      </c>
      <c r="JR13" s="171">
        <v>779.90732000000003</v>
      </c>
      <c r="JS13" s="171">
        <v>449.90732000000003</v>
      </c>
      <c r="JT13" s="171">
        <f t="shared" si="109"/>
        <v>-330</v>
      </c>
      <c r="JU13" s="171">
        <v>0</v>
      </c>
      <c r="JV13" s="171">
        <v>0</v>
      </c>
      <c r="JW13" s="171">
        <f t="shared" si="110"/>
        <v>0</v>
      </c>
      <c r="JX13" s="171">
        <v>0</v>
      </c>
      <c r="JY13" s="171">
        <v>0</v>
      </c>
      <c r="JZ13" s="171">
        <f t="shared" si="111"/>
        <v>0</v>
      </c>
      <c r="KA13" s="171">
        <v>11964.472750000001</v>
      </c>
      <c r="KC13" s="171">
        <v>7800.2557699999998</v>
      </c>
      <c r="KE13" s="171">
        <f t="shared" si="112"/>
        <v>-4164.2169800000011</v>
      </c>
      <c r="KF13" s="171">
        <f t="shared" si="113"/>
        <v>0</v>
      </c>
    </row>
    <row r="14" spans="1:292" s="171" customFormat="1" x14ac:dyDescent="0.25">
      <c r="A14" s="169" t="s">
        <v>158</v>
      </c>
      <c r="B14" s="170">
        <v>0</v>
      </c>
      <c r="C14" s="170">
        <v>887224.92891000002</v>
      </c>
      <c r="D14" s="170">
        <v>226589.79144</v>
      </c>
      <c r="E14" s="170">
        <v>28569.487089999999</v>
      </c>
      <c r="F14" s="171">
        <f t="shared" si="19"/>
        <v>1142384.20744</v>
      </c>
      <c r="G14" s="170">
        <v>0</v>
      </c>
      <c r="H14" s="170">
        <v>897365.60913999996</v>
      </c>
      <c r="I14" s="170">
        <v>218894.72162999999</v>
      </c>
      <c r="J14" s="170">
        <v>28895.322889999999</v>
      </c>
      <c r="K14" s="171">
        <f t="shared" si="20"/>
        <v>1145155.6536599998</v>
      </c>
      <c r="L14" s="170">
        <v>177004.72159</v>
      </c>
      <c r="M14" s="170">
        <v>4815.1541999999999</v>
      </c>
      <c r="N14" s="170">
        <v>635.05069000000003</v>
      </c>
      <c r="O14" s="171">
        <f t="shared" si="21"/>
        <v>182454.92647999999</v>
      </c>
      <c r="P14" s="170">
        <v>170251.15810000003</v>
      </c>
      <c r="Q14" s="170">
        <v>3430.9812099999999</v>
      </c>
      <c r="R14" s="170">
        <v>617.26799000000005</v>
      </c>
      <c r="S14" s="171">
        <f t="shared" si="22"/>
        <v>174299.40730000002</v>
      </c>
      <c r="T14" s="170">
        <v>0</v>
      </c>
      <c r="U14" s="170">
        <v>920623.12771000003</v>
      </c>
      <c r="V14" s="170">
        <v>232385.32448000001</v>
      </c>
      <c r="W14" s="170">
        <v>28895.820889999999</v>
      </c>
      <c r="X14" s="171">
        <f t="shared" si="23"/>
        <v>1181904.2730800002</v>
      </c>
      <c r="Y14" s="170">
        <v>0</v>
      </c>
      <c r="Z14" s="170">
        <v>889156.01673999999</v>
      </c>
      <c r="AA14" s="170">
        <v>220664.79011</v>
      </c>
      <c r="AB14" s="170">
        <v>28494.132989999998</v>
      </c>
      <c r="AC14" s="171">
        <f t="shared" si="24"/>
        <v>1138314.9398400001</v>
      </c>
      <c r="AD14" s="171">
        <f t="shared" si="25"/>
        <v>959929.28096</v>
      </c>
      <c r="AE14" s="171">
        <f t="shared" si="0"/>
        <v>970856.24635999976</v>
      </c>
      <c r="AF14" s="171">
        <f t="shared" si="26"/>
        <v>101.13830941682204</v>
      </c>
      <c r="AG14" s="172">
        <v>960084</v>
      </c>
      <c r="AH14" s="172">
        <f t="shared" si="27"/>
        <v>154.71903999999631</v>
      </c>
      <c r="AI14" s="172">
        <v>970856</v>
      </c>
      <c r="AJ14" s="172">
        <f t="shared" si="28"/>
        <v>-0.24635999975726008</v>
      </c>
      <c r="AK14" s="171">
        <f t="shared" si="1"/>
        <v>999449.34660000016</v>
      </c>
      <c r="AL14" s="171">
        <f t="shared" si="2"/>
        <v>964015.53254000004</v>
      </c>
      <c r="AM14" s="171">
        <f t="shared" si="29"/>
        <v>96.454666343968157</v>
      </c>
      <c r="AN14" s="173">
        <v>0</v>
      </c>
      <c r="AO14" s="173">
        <v>-22842.043249999999</v>
      </c>
      <c r="AP14" s="173">
        <v>-5795.5330400000003</v>
      </c>
      <c r="AQ14" s="173">
        <v>-326.3338</v>
      </c>
      <c r="AR14" s="171">
        <f t="shared" si="30"/>
        <v>-28963.910089999998</v>
      </c>
      <c r="AS14" s="173">
        <v>0</v>
      </c>
      <c r="AT14" s="173">
        <v>8209.5923999999995</v>
      </c>
      <c r="AU14" s="173">
        <v>-1770.0684799999999</v>
      </c>
      <c r="AV14" s="173">
        <v>401.18990000000002</v>
      </c>
      <c r="AW14" s="171">
        <f t="shared" si="31"/>
        <v>6840.7138199999999</v>
      </c>
      <c r="AX14" s="170">
        <v>0</v>
      </c>
      <c r="AY14" s="170">
        <v>766324.28096999996</v>
      </c>
      <c r="AZ14" s="170">
        <v>153671.59349</v>
      </c>
      <c r="BA14" s="170">
        <v>23354.589380000001</v>
      </c>
      <c r="BB14" s="312">
        <f t="shared" si="32"/>
        <v>-21.461279999988619</v>
      </c>
      <c r="BC14" s="171">
        <f t="shared" si="33"/>
        <v>943350.46383999998</v>
      </c>
      <c r="BD14" s="170">
        <v>0</v>
      </c>
      <c r="BE14" s="170">
        <v>766804.41457999998</v>
      </c>
      <c r="BF14" s="170">
        <v>146989.51444</v>
      </c>
      <c r="BG14" s="170">
        <v>23261.643660000002</v>
      </c>
      <c r="BH14" s="312">
        <f t="shared" si="3"/>
        <v>0</v>
      </c>
      <c r="BI14" s="171">
        <f t="shared" si="34"/>
        <v>937055.57267999998</v>
      </c>
      <c r="BJ14" s="171">
        <f t="shared" si="4"/>
        <v>760895.53735999996</v>
      </c>
      <c r="BK14" s="171">
        <f t="shared" si="5"/>
        <v>762756.1653799999</v>
      </c>
      <c r="BL14" s="171">
        <f t="shared" si="35"/>
        <v>100.24453133559642</v>
      </c>
      <c r="BM14" s="170">
        <v>0</v>
      </c>
      <c r="BN14" s="170">
        <v>123165.20301</v>
      </c>
      <c r="BO14" s="170">
        <v>72619.096950000006</v>
      </c>
      <c r="BP14" s="170">
        <v>5225.4447499999997</v>
      </c>
      <c r="BQ14" s="171">
        <f t="shared" si="36"/>
        <v>201009.74471</v>
      </c>
      <c r="BR14" s="171">
        <f t="shared" si="6"/>
        <v>201009.74471</v>
      </c>
      <c r="BS14" s="170">
        <v>0</v>
      </c>
      <c r="BT14" s="170">
        <v>132816.36011000001</v>
      </c>
      <c r="BU14" s="170">
        <v>71215.136159999995</v>
      </c>
      <c r="BV14" s="170">
        <v>5644.2262700000001</v>
      </c>
      <c r="BW14" s="171">
        <f t="shared" si="37"/>
        <v>209675.72254000002</v>
      </c>
      <c r="BX14" s="171">
        <f t="shared" si="7"/>
        <v>209675.72254000002</v>
      </c>
      <c r="BY14" s="171">
        <v>5770.52502</v>
      </c>
      <c r="BZ14" s="173">
        <v>5983.8</v>
      </c>
      <c r="CA14" s="171">
        <f t="shared" si="38"/>
        <v>5983.8</v>
      </c>
      <c r="CB14" s="173">
        <v>6212.7841799999997</v>
      </c>
      <c r="CC14" s="171">
        <f t="shared" si="38"/>
        <v>6212.7841799999997</v>
      </c>
      <c r="CD14" s="171">
        <f t="shared" si="8"/>
        <v>103.82673518499949</v>
      </c>
      <c r="CE14" s="171">
        <f t="shared" si="39"/>
        <v>7.6641060989628897</v>
      </c>
      <c r="CF14" s="173">
        <v>5309.74208</v>
      </c>
      <c r="CG14" s="171">
        <f t="shared" si="40"/>
        <v>5309.74208</v>
      </c>
      <c r="CH14" s="269">
        <v>7210.4256100000002</v>
      </c>
      <c r="CI14" s="171">
        <f t="shared" si="41"/>
        <v>7210.4256100000002</v>
      </c>
      <c r="CJ14" s="171">
        <f t="shared" si="9"/>
        <v>135.7961554697587</v>
      </c>
      <c r="CK14" s="173">
        <v>18895.40208</v>
      </c>
      <c r="CL14" s="171">
        <f t="shared" si="42"/>
        <v>18895.40208</v>
      </c>
      <c r="CM14" s="173">
        <v>21226.7922</v>
      </c>
      <c r="CN14" s="171">
        <f t="shared" si="43"/>
        <v>21226.7922</v>
      </c>
      <c r="CO14" s="173">
        <v>18508.502810000002</v>
      </c>
      <c r="CP14" s="171">
        <f t="shared" si="44"/>
        <v>18508.502810000002</v>
      </c>
      <c r="CQ14" s="171">
        <f t="shared" si="10"/>
        <v>97.952415786856875</v>
      </c>
      <c r="CR14" s="171">
        <f t="shared" si="45"/>
        <v>-2718.2893899999981</v>
      </c>
      <c r="CS14" s="171">
        <f t="shared" si="46"/>
        <v>-12.805935839895767</v>
      </c>
      <c r="CT14" s="171">
        <v>27441.062279999998</v>
      </c>
      <c r="CU14" s="173">
        <v>20246.03945</v>
      </c>
      <c r="CV14" s="171">
        <f t="shared" si="47"/>
        <v>20246.03945</v>
      </c>
      <c r="CW14" s="173">
        <v>18158.468099999998</v>
      </c>
      <c r="CX14" s="171">
        <f t="shared" ref="CX14" si="118">(CW14)</f>
        <v>18158.468099999998</v>
      </c>
      <c r="CY14" s="171">
        <f t="shared" si="11"/>
        <v>89.688989023480332</v>
      </c>
      <c r="CZ14" s="171">
        <f t="shared" si="49"/>
        <v>-33.8273864374612</v>
      </c>
      <c r="DA14" s="171">
        <v>27906.81107</v>
      </c>
      <c r="DB14" s="171">
        <v>9398.2662700000001</v>
      </c>
      <c r="DC14" s="173">
        <v>36197.524890000001</v>
      </c>
      <c r="DD14" s="171">
        <f t="shared" si="50"/>
        <v>36197.524890000001</v>
      </c>
      <c r="DE14" s="173">
        <v>1969.6180999999999</v>
      </c>
      <c r="DF14" s="171">
        <f t="shared" si="51"/>
        <v>1969.6180999999999</v>
      </c>
      <c r="DG14" s="171">
        <f t="shared" si="12"/>
        <v>8290.7138200000009</v>
      </c>
      <c r="DH14" s="171">
        <f t="shared" si="13"/>
        <v>-7428.6481700000004</v>
      </c>
      <c r="DI14" s="171">
        <v>58553.9</v>
      </c>
      <c r="DJ14" s="171">
        <v>60003.9</v>
      </c>
      <c r="DK14" s="171">
        <f t="shared" si="52"/>
        <v>1450</v>
      </c>
      <c r="DL14" s="170">
        <v>0</v>
      </c>
      <c r="DM14" s="170">
        <v>764059.72589999996</v>
      </c>
      <c r="DN14" s="170">
        <v>153970.69448999999</v>
      </c>
      <c r="DO14" s="170">
        <v>23344.04234</v>
      </c>
      <c r="DP14" s="171">
        <f t="shared" si="53"/>
        <v>941374.46273000003</v>
      </c>
      <c r="DQ14" s="170">
        <v>0</v>
      </c>
      <c r="DR14" s="170">
        <v>764549.24902999995</v>
      </c>
      <c r="DS14" s="170">
        <v>147679.58546999999</v>
      </c>
      <c r="DT14" s="170">
        <v>23251.09662</v>
      </c>
      <c r="DU14" s="171">
        <f t="shared" si="54"/>
        <v>935479.93111999985</v>
      </c>
      <c r="DV14" s="174">
        <f t="shared" si="14"/>
        <v>758919.53625</v>
      </c>
      <c r="DW14" s="174">
        <f t="shared" si="15"/>
        <v>761180.52381999977</v>
      </c>
      <c r="DX14" s="171">
        <f t="shared" si="55"/>
        <v>100.29792190897759</v>
      </c>
      <c r="DY14" s="170">
        <v>122733.73059000001</v>
      </c>
      <c r="DZ14" s="171">
        <f t="shared" si="56"/>
        <v>122733.73059000001</v>
      </c>
      <c r="EA14" s="171">
        <v>35</v>
      </c>
      <c r="EB14" s="171">
        <f t="shared" si="57"/>
        <v>350667.80168571428</v>
      </c>
      <c r="EC14" s="171">
        <f t="shared" si="58"/>
        <v>122733.73058999999</v>
      </c>
      <c r="ED14" s="171">
        <f t="shared" si="59"/>
        <v>0</v>
      </c>
      <c r="EE14" s="170">
        <v>130979.86261</v>
      </c>
      <c r="EF14" s="171">
        <f t="shared" si="60"/>
        <v>130979.86261</v>
      </c>
      <c r="EG14" s="171">
        <f t="shared" si="61"/>
        <v>374228.17888571427</v>
      </c>
      <c r="EH14" s="171">
        <f t="shared" si="62"/>
        <v>130979.86260999998</v>
      </c>
      <c r="EI14" s="171">
        <f t="shared" si="63"/>
        <v>0</v>
      </c>
      <c r="EJ14" s="173">
        <v>5398.5929800000004</v>
      </c>
      <c r="EK14" s="171">
        <f t="shared" si="64"/>
        <v>5398.5929800000004</v>
      </c>
      <c r="EL14" s="171">
        <v>5411</v>
      </c>
      <c r="EM14" s="171">
        <v>5968.45093</v>
      </c>
      <c r="EN14" s="171">
        <f t="shared" si="16"/>
        <v>569.85794999999962</v>
      </c>
      <c r="EO14" s="171">
        <f t="shared" si="65"/>
        <v>10.555675378957716</v>
      </c>
      <c r="EV14" s="173">
        <v>199.37083000000001</v>
      </c>
      <c r="EW14" s="171">
        <f t="shared" si="66"/>
        <v>199.37083000000001</v>
      </c>
      <c r="EX14" s="313">
        <v>436.8</v>
      </c>
      <c r="EY14" s="171">
        <v>207.98406</v>
      </c>
      <c r="EZ14" s="171">
        <f t="shared" si="17"/>
        <v>8.6132299999999873</v>
      </c>
      <c r="FA14" s="171">
        <f t="shared" si="67"/>
        <v>4.3202057191616063</v>
      </c>
      <c r="FB14" s="173">
        <v>172.56120999999999</v>
      </c>
      <c r="FC14" s="171">
        <f t="shared" si="68"/>
        <v>172.56120999999999</v>
      </c>
      <c r="FD14" s="171">
        <v>136</v>
      </c>
      <c r="FE14" s="171">
        <v>36.34919</v>
      </c>
      <c r="FF14" s="171">
        <f t="shared" si="69"/>
        <v>-136.21202</v>
      </c>
      <c r="FG14" s="171">
        <f t="shared" si="70"/>
        <v>-78.935480343467688</v>
      </c>
      <c r="FH14" s="171">
        <v>18465.904229999986</v>
      </c>
      <c r="FI14" s="171">
        <v>17444.07387</v>
      </c>
      <c r="FJ14" s="171">
        <v>30093.914390000049</v>
      </c>
      <c r="FK14" s="171">
        <v>20219.252690000001</v>
      </c>
      <c r="FL14" s="171">
        <f t="shared" si="71"/>
        <v>11628.010160000063</v>
      </c>
      <c r="FM14" s="171">
        <f t="shared" si="72"/>
        <v>2775.178820000001</v>
      </c>
      <c r="FN14" s="171">
        <v>5073.9219800000001</v>
      </c>
      <c r="FO14" s="171">
        <v>5073.9219800000001</v>
      </c>
      <c r="FP14" s="171">
        <v>4163.05242</v>
      </c>
      <c r="FQ14" s="171">
        <v>4163.05242</v>
      </c>
      <c r="FR14" s="171">
        <f t="shared" si="73"/>
        <v>-910.86956000000009</v>
      </c>
      <c r="FS14" s="171">
        <f t="shared" si="74"/>
        <v>-910.86956000000009</v>
      </c>
      <c r="FT14" s="171">
        <v>10380.69318</v>
      </c>
      <c r="FU14" s="171">
        <v>9763.1838000000007</v>
      </c>
      <c r="FV14" s="171">
        <v>7370.7462400000004</v>
      </c>
      <c r="FW14" s="171">
        <v>6976.3250600000001</v>
      </c>
      <c r="FX14" s="171">
        <f t="shared" si="75"/>
        <v>-3009.9469399999998</v>
      </c>
      <c r="FY14" s="171">
        <f t="shared" si="76"/>
        <v>-2786.8587400000006</v>
      </c>
      <c r="FZ14" s="171">
        <v>696.48713999999995</v>
      </c>
      <c r="GA14" s="171">
        <v>696.43763999999999</v>
      </c>
      <c r="GB14" s="171">
        <v>6639.3614100000004</v>
      </c>
      <c r="GC14" s="171">
        <v>4276.01253</v>
      </c>
      <c r="GD14" s="171">
        <f t="shared" si="77"/>
        <v>5942.8742700000003</v>
      </c>
      <c r="GE14" s="171">
        <f t="shared" si="78"/>
        <v>3579.5748899999999</v>
      </c>
      <c r="GJ14" s="171">
        <f t="shared" si="79"/>
        <v>0</v>
      </c>
      <c r="GK14" s="171">
        <f t="shared" si="80"/>
        <v>0</v>
      </c>
      <c r="GL14" s="171">
        <v>525.50315999999998</v>
      </c>
      <c r="GM14" s="171">
        <v>494.14920999999998</v>
      </c>
      <c r="GN14" s="171">
        <v>1888.2472399999999</v>
      </c>
      <c r="GO14" s="171">
        <v>1856.45921</v>
      </c>
      <c r="GP14" s="171">
        <f t="shared" si="81"/>
        <v>1362.7440799999999</v>
      </c>
      <c r="GQ14" s="171">
        <f t="shared" si="82"/>
        <v>1362.31</v>
      </c>
      <c r="GV14" s="171">
        <f t="shared" si="83"/>
        <v>0</v>
      </c>
      <c r="GW14" s="171">
        <f t="shared" si="84"/>
        <v>0</v>
      </c>
      <c r="HB14" s="171">
        <f t="shared" si="85"/>
        <v>0</v>
      </c>
      <c r="HC14" s="171">
        <f t="shared" si="86"/>
        <v>0</v>
      </c>
      <c r="HH14" s="171">
        <f t="shared" si="87"/>
        <v>0</v>
      </c>
      <c r="HI14" s="171">
        <f t="shared" si="88"/>
        <v>0</v>
      </c>
      <c r="HN14" s="171">
        <f t="shared" si="89"/>
        <v>0</v>
      </c>
      <c r="HO14" s="171">
        <f t="shared" si="90"/>
        <v>0</v>
      </c>
      <c r="HP14" s="171">
        <v>281.54030999999998</v>
      </c>
      <c r="HQ14" s="171">
        <v>124.14031</v>
      </c>
      <c r="HR14" s="171">
        <v>284.31540999999999</v>
      </c>
      <c r="HS14" s="171">
        <v>117.91540999999999</v>
      </c>
      <c r="HT14" s="171">
        <f t="shared" si="91"/>
        <v>2.775100000000009</v>
      </c>
      <c r="HU14" s="171">
        <f t="shared" si="92"/>
        <v>-6.2249000000000052</v>
      </c>
      <c r="HV14" s="171">
        <v>0</v>
      </c>
      <c r="HW14" s="171">
        <v>0</v>
      </c>
      <c r="HX14" s="171">
        <v>64.400000000000006</v>
      </c>
      <c r="HY14" s="171">
        <v>64.400000000000006</v>
      </c>
      <c r="HZ14" s="171">
        <f t="shared" si="93"/>
        <v>64.400000000000006</v>
      </c>
      <c r="IA14" s="171">
        <f t="shared" si="94"/>
        <v>64.400000000000006</v>
      </c>
      <c r="IB14" s="171">
        <v>0</v>
      </c>
      <c r="IC14" s="171">
        <v>0</v>
      </c>
      <c r="ID14" s="171">
        <v>0</v>
      </c>
      <c r="IE14" s="171">
        <v>0</v>
      </c>
      <c r="IF14" s="171">
        <f t="shared" si="95"/>
        <v>0</v>
      </c>
      <c r="IG14" s="171">
        <f t="shared" si="96"/>
        <v>0</v>
      </c>
      <c r="IH14" s="171">
        <v>192.8</v>
      </c>
      <c r="II14" s="171">
        <v>192.8</v>
      </c>
      <c r="IJ14" s="171">
        <v>0</v>
      </c>
      <c r="IK14" s="171">
        <v>0</v>
      </c>
      <c r="IL14" s="171">
        <f t="shared" si="97"/>
        <v>-192.8</v>
      </c>
      <c r="IM14" s="171">
        <f t="shared" si="98"/>
        <v>-192.8</v>
      </c>
      <c r="IN14" s="171">
        <v>1071.76486</v>
      </c>
      <c r="IO14" s="171">
        <v>1071.76486</v>
      </c>
      <c r="IP14" s="171">
        <v>2701.7328200000002</v>
      </c>
      <c r="IQ14" s="171">
        <v>2701.7328200000002</v>
      </c>
      <c r="IR14" s="171">
        <f t="shared" si="99"/>
        <v>1629.9679600000002</v>
      </c>
      <c r="IS14" s="171">
        <f t="shared" si="100"/>
        <v>1629.9679600000002</v>
      </c>
      <c r="IT14" s="171">
        <v>25470.86189</v>
      </c>
      <c r="IU14" s="171">
        <v>10557.56472</v>
      </c>
      <c r="IV14" s="171">
        <v>22947.700260000001</v>
      </c>
      <c r="IW14" s="171">
        <v>6159.7881200000002</v>
      </c>
      <c r="IX14" s="171">
        <f t="shared" si="101"/>
        <v>-2523.1616299999987</v>
      </c>
      <c r="IY14" s="171">
        <f t="shared" si="102"/>
        <v>-4397.7766000000001</v>
      </c>
      <c r="JB14" s="171">
        <f t="shared" si="103"/>
        <v>0</v>
      </c>
      <c r="JE14" s="171">
        <f t="shared" si="104"/>
        <v>0</v>
      </c>
      <c r="JF14" s="171">
        <v>1761.4549500000001</v>
      </c>
      <c r="JG14" s="171">
        <v>142.29393999999999</v>
      </c>
      <c r="JH14" s="171">
        <f t="shared" si="105"/>
        <v>-1619.16101</v>
      </c>
      <c r="JI14" s="171">
        <v>0</v>
      </c>
      <c r="JJ14" s="171">
        <v>0</v>
      </c>
      <c r="JK14" s="171">
        <f t="shared" si="106"/>
        <v>0</v>
      </c>
      <c r="JL14" s="171">
        <v>0</v>
      </c>
      <c r="JM14" s="171">
        <v>0</v>
      </c>
      <c r="JN14" s="171">
        <f t="shared" si="107"/>
        <v>0</v>
      </c>
      <c r="JO14" s="171">
        <v>0</v>
      </c>
      <c r="JP14" s="171">
        <v>0</v>
      </c>
      <c r="JQ14" s="171">
        <f t="shared" si="108"/>
        <v>0</v>
      </c>
      <c r="JR14" s="171">
        <v>0</v>
      </c>
      <c r="JS14" s="171">
        <v>0</v>
      </c>
      <c r="JT14" s="171">
        <f t="shared" si="109"/>
        <v>0</v>
      </c>
      <c r="JU14" s="171">
        <v>8301.9424299999991</v>
      </c>
      <c r="JV14" s="171">
        <v>6002.9951600000004</v>
      </c>
      <c r="JW14" s="171">
        <f t="shared" si="110"/>
        <v>-2298.9472699999988</v>
      </c>
      <c r="JX14" s="171">
        <v>0</v>
      </c>
      <c r="JY14" s="171">
        <v>0</v>
      </c>
      <c r="JZ14" s="171">
        <f t="shared" si="111"/>
        <v>0</v>
      </c>
      <c r="KA14" s="171">
        <v>8286.6936700000006</v>
      </c>
      <c r="KC14" s="171">
        <v>5591.1941299999999</v>
      </c>
      <c r="KE14" s="171">
        <f t="shared" si="112"/>
        <v>-2695.4995400000007</v>
      </c>
      <c r="KF14" s="171">
        <f t="shared" si="113"/>
        <v>0</v>
      </c>
    </row>
    <row r="15" spans="1:292" s="171" customFormat="1" x14ac:dyDescent="0.25">
      <c r="A15" s="169" t="s">
        <v>159</v>
      </c>
      <c r="B15" s="170">
        <v>0</v>
      </c>
      <c r="C15" s="170">
        <v>809079.21513999999</v>
      </c>
      <c r="D15" s="170">
        <v>0</v>
      </c>
      <c r="E15" s="170">
        <v>55783.750220000002</v>
      </c>
      <c r="F15" s="171">
        <f t="shared" si="19"/>
        <v>864862.96536000003</v>
      </c>
      <c r="G15" s="170">
        <v>0</v>
      </c>
      <c r="H15" s="170">
        <v>802886.36580999999</v>
      </c>
      <c r="I15" s="170">
        <v>0</v>
      </c>
      <c r="J15" s="170">
        <v>54810.567649999997</v>
      </c>
      <c r="K15" s="171">
        <f t="shared" si="20"/>
        <v>857696.93345999997</v>
      </c>
      <c r="L15" s="170">
        <v>40319.042870000005</v>
      </c>
      <c r="M15" s="170">
        <v>0</v>
      </c>
      <c r="N15" s="170">
        <v>1773</v>
      </c>
      <c r="O15" s="171">
        <f t="shared" si="21"/>
        <v>42092.042870000005</v>
      </c>
      <c r="P15" s="170">
        <v>40219.042870000005</v>
      </c>
      <c r="Q15" s="170">
        <v>0</v>
      </c>
      <c r="R15" s="170">
        <v>1773</v>
      </c>
      <c r="S15" s="171">
        <f t="shared" si="22"/>
        <v>41992.042870000005</v>
      </c>
      <c r="T15" s="170">
        <v>0</v>
      </c>
      <c r="U15" s="170">
        <v>834304.48970000003</v>
      </c>
      <c r="V15" s="170">
        <v>0</v>
      </c>
      <c r="W15" s="170">
        <v>57128.745280000003</v>
      </c>
      <c r="X15" s="171">
        <f t="shared" si="23"/>
        <v>891433.23498000007</v>
      </c>
      <c r="Y15" s="170">
        <v>0</v>
      </c>
      <c r="Z15" s="170">
        <v>811378.63989999995</v>
      </c>
      <c r="AA15" s="170">
        <v>0</v>
      </c>
      <c r="AB15" s="170">
        <v>55370.817430000003</v>
      </c>
      <c r="AC15" s="171">
        <f t="shared" si="24"/>
        <v>866749.45733</v>
      </c>
      <c r="AD15" s="171">
        <f t="shared" si="25"/>
        <v>822770.92249000003</v>
      </c>
      <c r="AE15" s="171">
        <f t="shared" si="0"/>
        <v>815704.89058999997</v>
      </c>
      <c r="AF15" s="171">
        <f t="shared" si="26"/>
        <v>99.141190858007519</v>
      </c>
      <c r="AG15" s="172">
        <v>822871</v>
      </c>
      <c r="AH15" s="172">
        <f t="shared" si="27"/>
        <v>100.0775099999737</v>
      </c>
      <c r="AI15" s="172">
        <v>815705</v>
      </c>
      <c r="AJ15" s="172">
        <f t="shared" si="28"/>
        <v>0.10941000003367662</v>
      </c>
      <c r="AK15" s="171">
        <f t="shared" si="1"/>
        <v>849341.19211000006</v>
      </c>
      <c r="AL15" s="171">
        <f t="shared" si="2"/>
        <v>824757.41446</v>
      </c>
      <c r="AM15" s="171">
        <f t="shared" si="29"/>
        <v>97.105547466863456</v>
      </c>
      <c r="AN15" s="173">
        <v>0</v>
      </c>
      <c r="AO15" s="173">
        <v>-21708.774560000002</v>
      </c>
      <c r="AP15" s="173">
        <v>0</v>
      </c>
      <c r="AQ15" s="173">
        <v>-1244.99506</v>
      </c>
      <c r="AR15" s="171">
        <f t="shared" si="30"/>
        <v>-22953.769620000003</v>
      </c>
      <c r="AS15" s="173">
        <v>0</v>
      </c>
      <c r="AT15" s="173">
        <v>-8492.2740900000008</v>
      </c>
      <c r="AU15" s="173">
        <v>0</v>
      </c>
      <c r="AV15" s="173">
        <v>-560.24977999999999</v>
      </c>
      <c r="AW15" s="171">
        <f t="shared" si="31"/>
        <v>-9052.5238700000009</v>
      </c>
      <c r="AX15" s="170">
        <v>0</v>
      </c>
      <c r="AY15" s="170">
        <v>715304.19848000002</v>
      </c>
      <c r="AZ15" s="170">
        <v>0</v>
      </c>
      <c r="BA15" s="170">
        <v>40219.042869999997</v>
      </c>
      <c r="BB15" s="312">
        <f t="shared" si="32"/>
        <v>100.00000000000728</v>
      </c>
      <c r="BC15" s="171">
        <f t="shared" si="33"/>
        <v>755523.24135000003</v>
      </c>
      <c r="BD15" s="170">
        <v>0</v>
      </c>
      <c r="BE15" s="170">
        <v>714915.41910000006</v>
      </c>
      <c r="BF15" s="170">
        <v>0</v>
      </c>
      <c r="BG15" s="170">
        <v>40219.042869999997</v>
      </c>
      <c r="BH15" s="312">
        <f t="shared" si="3"/>
        <v>0</v>
      </c>
      <c r="BI15" s="171">
        <f t="shared" si="34"/>
        <v>755134.46197000006</v>
      </c>
      <c r="BJ15" s="171">
        <f t="shared" si="4"/>
        <v>713431.19848000002</v>
      </c>
      <c r="BK15" s="171">
        <f t="shared" si="5"/>
        <v>713142.41910000006</v>
      </c>
      <c r="BL15" s="171">
        <f t="shared" si="35"/>
        <v>99.959522462626353</v>
      </c>
      <c r="BM15" s="170">
        <v>0</v>
      </c>
      <c r="BN15" s="170">
        <v>93775.016659999994</v>
      </c>
      <c r="BO15" s="170">
        <v>0</v>
      </c>
      <c r="BP15" s="170">
        <v>14896.67735</v>
      </c>
      <c r="BQ15" s="171">
        <f t="shared" si="36"/>
        <v>108671.69400999999</v>
      </c>
      <c r="BR15" s="171">
        <f t="shared" si="6"/>
        <v>108671.69400999999</v>
      </c>
      <c r="BS15" s="170">
        <v>0</v>
      </c>
      <c r="BT15" s="170">
        <v>87970.946710000004</v>
      </c>
      <c r="BU15" s="170">
        <v>0</v>
      </c>
      <c r="BV15" s="170">
        <v>13923.494780000001</v>
      </c>
      <c r="BW15" s="171">
        <f t="shared" si="37"/>
        <v>101894.44149</v>
      </c>
      <c r="BX15" s="171">
        <f t="shared" si="7"/>
        <v>101894.44149</v>
      </c>
      <c r="BY15" s="171">
        <v>9800.6563700000006</v>
      </c>
      <c r="BZ15" s="173">
        <v>8397.9051999999992</v>
      </c>
      <c r="CA15" s="171">
        <f t="shared" si="38"/>
        <v>8397.9051999999992</v>
      </c>
      <c r="CB15" s="173">
        <v>7838.3801199999998</v>
      </c>
      <c r="CC15" s="171">
        <f t="shared" si="38"/>
        <v>7838.3801199999998</v>
      </c>
      <c r="CD15" s="171">
        <f t="shared" si="8"/>
        <v>93.337325598769567</v>
      </c>
      <c r="CE15" s="171">
        <f t="shared" si="39"/>
        <v>-20.021886044352769</v>
      </c>
      <c r="CF15" s="173">
        <v>1517.9</v>
      </c>
      <c r="CG15" s="171">
        <f t="shared" si="40"/>
        <v>1517.9</v>
      </c>
      <c r="CH15" s="269">
        <v>1321.43677</v>
      </c>
      <c r="CI15" s="171">
        <f t="shared" si="41"/>
        <v>1321.43677</v>
      </c>
      <c r="CJ15" s="171">
        <f t="shared" si="9"/>
        <v>87.05690559325383</v>
      </c>
      <c r="CK15" s="173">
        <v>8454.8369899999998</v>
      </c>
      <c r="CL15" s="171">
        <f t="shared" si="42"/>
        <v>8454.8369899999998</v>
      </c>
      <c r="CM15" s="173">
        <v>9189.0213500000009</v>
      </c>
      <c r="CN15" s="171">
        <f t="shared" si="43"/>
        <v>9189.0213500000009</v>
      </c>
      <c r="CO15" s="173">
        <v>7992.6101099999996</v>
      </c>
      <c r="CP15" s="171">
        <f t="shared" si="44"/>
        <v>7992.6101099999996</v>
      </c>
      <c r="CQ15" s="171">
        <f t="shared" si="10"/>
        <v>94.532988861326345</v>
      </c>
      <c r="CR15" s="171">
        <f t="shared" si="45"/>
        <v>-1196.4112400000013</v>
      </c>
      <c r="CS15" s="171">
        <f t="shared" si="46"/>
        <v>-13.020007184987136</v>
      </c>
      <c r="CT15" s="171">
        <v>11386.18729</v>
      </c>
      <c r="CU15" s="173">
        <v>10972.10838</v>
      </c>
      <c r="CV15" s="171">
        <f t="shared" si="47"/>
        <v>10972.10838</v>
      </c>
      <c r="CW15" s="173">
        <v>11167.3397</v>
      </c>
      <c r="CX15" s="171">
        <f t="shared" ref="CX15" si="119">(CW15)</f>
        <v>11167.3397</v>
      </c>
      <c r="CY15" s="171">
        <f t="shared" si="11"/>
        <v>101.77934188433527</v>
      </c>
      <c r="CZ15" s="171">
        <f t="shared" si="49"/>
        <v>-1.922044530149293</v>
      </c>
      <c r="DA15" s="171">
        <v>29445.753100000002</v>
      </c>
      <c r="DB15" s="171">
        <v>368.38310000000001</v>
      </c>
      <c r="DC15" s="173">
        <v>20393.229230000001</v>
      </c>
      <c r="DD15" s="171">
        <f t="shared" si="50"/>
        <v>20393.229230000001</v>
      </c>
      <c r="DE15" s="173">
        <v>160.00104999999999</v>
      </c>
      <c r="DF15" s="171">
        <f t="shared" si="51"/>
        <v>160.00104999999999</v>
      </c>
      <c r="DG15" s="171">
        <f t="shared" si="12"/>
        <v>-9052.5238700000009</v>
      </c>
      <c r="DH15" s="171">
        <f t="shared" si="13"/>
        <v>-208.38205000000002</v>
      </c>
      <c r="DJ15" s="171">
        <v>0</v>
      </c>
      <c r="DK15" s="171">
        <f t="shared" si="52"/>
        <v>0</v>
      </c>
      <c r="DL15" s="170">
        <v>0</v>
      </c>
      <c r="DM15" s="170">
        <v>715304.19848000002</v>
      </c>
      <c r="DN15" s="170">
        <v>0</v>
      </c>
      <c r="DO15" s="170">
        <v>40887.072870000004</v>
      </c>
      <c r="DP15" s="171">
        <f t="shared" si="53"/>
        <v>756191.27135000005</v>
      </c>
      <c r="DQ15" s="170">
        <v>0</v>
      </c>
      <c r="DR15" s="170">
        <v>714915.41910000006</v>
      </c>
      <c r="DS15" s="170">
        <v>0</v>
      </c>
      <c r="DT15" s="170">
        <v>40887.072870000004</v>
      </c>
      <c r="DU15" s="171">
        <f t="shared" si="54"/>
        <v>755802.49197000009</v>
      </c>
      <c r="DV15" s="174">
        <f t="shared" si="14"/>
        <v>714099.22848000005</v>
      </c>
      <c r="DW15" s="174">
        <f t="shared" si="15"/>
        <v>713810.44910000009</v>
      </c>
      <c r="DX15" s="171">
        <f t="shared" si="55"/>
        <v>99.959560328805466</v>
      </c>
      <c r="DY15" s="170">
        <v>56897.216639999999</v>
      </c>
      <c r="DZ15" s="171">
        <f t="shared" si="56"/>
        <v>56897.216639999999</v>
      </c>
      <c r="EA15" s="171">
        <v>35</v>
      </c>
      <c r="EB15" s="171">
        <f t="shared" si="57"/>
        <v>162563.4761142857</v>
      </c>
      <c r="EC15" s="171">
        <f t="shared" si="58"/>
        <v>56897.216639999991</v>
      </c>
      <c r="ED15" s="171">
        <f t="shared" si="59"/>
        <v>0</v>
      </c>
      <c r="EE15" s="170">
        <v>53524.395680000001</v>
      </c>
      <c r="EF15" s="171">
        <f t="shared" si="60"/>
        <v>53524.395680000001</v>
      </c>
      <c r="EG15" s="171">
        <f t="shared" si="61"/>
        <v>152926.84479999999</v>
      </c>
      <c r="EH15" s="171">
        <f t="shared" si="62"/>
        <v>53524.395679999994</v>
      </c>
      <c r="EI15" s="171">
        <f t="shared" si="63"/>
        <v>0</v>
      </c>
      <c r="EJ15" s="173">
        <v>9590.1325799999995</v>
      </c>
      <c r="EK15" s="171">
        <f t="shared" si="64"/>
        <v>9590.1325799999995</v>
      </c>
      <c r="EL15" s="171">
        <v>8324.1</v>
      </c>
      <c r="EM15" s="171">
        <v>7700.5927300000003</v>
      </c>
      <c r="EN15" s="171">
        <f t="shared" si="16"/>
        <v>-1889.5398499999992</v>
      </c>
      <c r="EO15" s="171">
        <f t="shared" si="65"/>
        <v>-19.702958579953219</v>
      </c>
      <c r="EV15" s="173">
        <v>0.25</v>
      </c>
      <c r="EW15" s="171">
        <f t="shared" si="66"/>
        <v>0.25</v>
      </c>
      <c r="EX15" s="313">
        <v>10.1052</v>
      </c>
      <c r="EY15" s="171">
        <v>10.427390000000001</v>
      </c>
      <c r="EZ15" s="171">
        <f t="shared" si="17"/>
        <v>10.177390000000001</v>
      </c>
      <c r="FA15" s="171">
        <f t="shared" si="67"/>
        <v>4070.9560000000001</v>
      </c>
      <c r="FB15" s="173">
        <v>210.27378999999999</v>
      </c>
      <c r="FC15" s="171">
        <f t="shared" si="68"/>
        <v>210.27378999999999</v>
      </c>
      <c r="FD15" s="171">
        <v>63.7</v>
      </c>
      <c r="FE15" s="171">
        <v>127.36</v>
      </c>
      <c r="FF15" s="171">
        <f t="shared" si="69"/>
        <v>-82.913789999999992</v>
      </c>
      <c r="FG15" s="171">
        <f t="shared" si="70"/>
        <v>-39.431348053411689</v>
      </c>
      <c r="FH15" s="171">
        <v>19848.227279999992</v>
      </c>
      <c r="FI15" s="171">
        <v>4176.5623100000003</v>
      </c>
      <c r="FJ15" s="171">
        <v>18185.537119999994</v>
      </c>
      <c r="FK15" s="171">
        <v>3455.4686799999999</v>
      </c>
      <c r="FL15" s="171">
        <f t="shared" si="71"/>
        <v>-1662.6901599999983</v>
      </c>
      <c r="FM15" s="171">
        <f t="shared" si="72"/>
        <v>-721.0936300000003</v>
      </c>
      <c r="FN15" s="171">
        <v>2818.8790300000001</v>
      </c>
      <c r="FO15" s="171">
        <v>2818.8790300000001</v>
      </c>
      <c r="FP15" s="171">
        <v>2682.41599</v>
      </c>
      <c r="FQ15" s="171">
        <v>1955.9385400000001</v>
      </c>
      <c r="FR15" s="171">
        <f t="shared" si="73"/>
        <v>-136.46304000000009</v>
      </c>
      <c r="FS15" s="171">
        <f t="shared" si="74"/>
        <v>-862.94048999999995</v>
      </c>
      <c r="FT15" s="171">
        <v>9789.40128</v>
      </c>
      <c r="FU15" s="171">
        <v>840.85148000000004</v>
      </c>
      <c r="FV15" s="171">
        <v>9511.79169</v>
      </c>
      <c r="FW15" s="171">
        <v>933.30695000000003</v>
      </c>
      <c r="FX15" s="171">
        <f t="shared" si="75"/>
        <v>-277.60959000000003</v>
      </c>
      <c r="FY15" s="171">
        <f t="shared" si="76"/>
        <v>92.455469999999991</v>
      </c>
      <c r="FZ15" s="171">
        <v>5312.3957499999997</v>
      </c>
      <c r="GA15" s="171">
        <v>512.39575000000002</v>
      </c>
      <c r="GB15" s="171">
        <v>5087.9409900000001</v>
      </c>
      <c r="GC15" s="171">
        <v>537.48305000000005</v>
      </c>
      <c r="GD15" s="171">
        <f t="shared" si="77"/>
        <v>-224.45475999999962</v>
      </c>
      <c r="GE15" s="171">
        <f t="shared" si="78"/>
        <v>25.087300000000027</v>
      </c>
      <c r="GJ15" s="171">
        <f t="shared" si="79"/>
        <v>0</v>
      </c>
      <c r="GK15" s="171">
        <f t="shared" si="80"/>
        <v>0</v>
      </c>
      <c r="GL15" s="171">
        <v>0</v>
      </c>
      <c r="GM15" s="171">
        <v>0</v>
      </c>
      <c r="GN15" s="171">
        <v>0</v>
      </c>
      <c r="GO15" s="171">
        <v>0</v>
      </c>
      <c r="GP15" s="171">
        <f t="shared" si="81"/>
        <v>0</v>
      </c>
      <c r="GQ15" s="171">
        <f t="shared" si="82"/>
        <v>0</v>
      </c>
      <c r="GV15" s="171">
        <f t="shared" si="83"/>
        <v>0</v>
      </c>
      <c r="GW15" s="171">
        <f t="shared" si="84"/>
        <v>0</v>
      </c>
      <c r="HB15" s="171">
        <f t="shared" si="85"/>
        <v>0</v>
      </c>
      <c r="HC15" s="171">
        <f t="shared" si="86"/>
        <v>0</v>
      </c>
      <c r="HH15" s="171">
        <f t="shared" si="87"/>
        <v>0</v>
      </c>
      <c r="HI15" s="171">
        <f t="shared" si="88"/>
        <v>0</v>
      </c>
      <c r="HN15" s="171">
        <f t="shared" si="89"/>
        <v>0</v>
      </c>
      <c r="HO15" s="171">
        <f t="shared" si="90"/>
        <v>0</v>
      </c>
      <c r="HP15" s="171">
        <v>451.23052999999999</v>
      </c>
      <c r="HQ15" s="171">
        <v>4.4360499999999998</v>
      </c>
      <c r="HR15" s="171">
        <v>333.38896</v>
      </c>
      <c r="HS15" s="171">
        <v>13.5</v>
      </c>
      <c r="HT15" s="171">
        <f t="shared" si="91"/>
        <v>-117.84156999999999</v>
      </c>
      <c r="HU15" s="171">
        <f t="shared" si="92"/>
        <v>9.0639500000000002</v>
      </c>
      <c r="HV15" s="171">
        <v>0</v>
      </c>
      <c r="HW15" s="171">
        <v>0</v>
      </c>
      <c r="HX15" s="171">
        <v>0</v>
      </c>
      <c r="HY15" s="171">
        <v>0</v>
      </c>
      <c r="HZ15" s="171">
        <f t="shared" si="93"/>
        <v>0</v>
      </c>
      <c r="IA15" s="171">
        <f t="shared" si="94"/>
        <v>0</v>
      </c>
      <c r="IB15" s="171">
        <v>0</v>
      </c>
      <c r="IC15" s="171">
        <v>0</v>
      </c>
      <c r="ID15" s="171">
        <v>0</v>
      </c>
      <c r="IE15" s="171">
        <v>0</v>
      </c>
      <c r="IF15" s="171">
        <f t="shared" si="95"/>
        <v>0</v>
      </c>
      <c r="IG15" s="171">
        <f t="shared" si="96"/>
        <v>0</v>
      </c>
      <c r="IH15" s="171">
        <v>0</v>
      </c>
      <c r="II15" s="171">
        <v>0</v>
      </c>
      <c r="IJ15" s="171">
        <v>0</v>
      </c>
      <c r="IK15" s="171">
        <v>0</v>
      </c>
      <c r="IL15" s="171">
        <f t="shared" si="97"/>
        <v>0</v>
      </c>
      <c r="IM15" s="171">
        <f t="shared" si="98"/>
        <v>0</v>
      </c>
      <c r="IN15" s="171">
        <v>0</v>
      </c>
      <c r="IO15" s="171">
        <v>0</v>
      </c>
      <c r="IP15" s="171">
        <v>0</v>
      </c>
      <c r="IQ15" s="171">
        <v>0</v>
      </c>
      <c r="IR15" s="171">
        <f t="shared" si="99"/>
        <v>0</v>
      </c>
      <c r="IS15" s="171">
        <f t="shared" si="100"/>
        <v>0</v>
      </c>
      <c r="IT15" s="171">
        <v>5624.6877599999998</v>
      </c>
      <c r="IU15" s="171">
        <v>0</v>
      </c>
      <c r="IV15" s="171">
        <v>3880.3686500000003</v>
      </c>
      <c r="IW15" s="171">
        <v>0</v>
      </c>
      <c r="IX15" s="171">
        <f t="shared" si="101"/>
        <v>-1744.3191099999995</v>
      </c>
      <c r="IY15" s="171">
        <f t="shared" si="102"/>
        <v>0</v>
      </c>
      <c r="JB15" s="171">
        <f t="shared" si="103"/>
        <v>0</v>
      </c>
      <c r="JE15" s="171">
        <f t="shared" si="104"/>
        <v>0</v>
      </c>
      <c r="JF15" s="171">
        <v>0</v>
      </c>
      <c r="JG15" s="171">
        <v>0</v>
      </c>
      <c r="JH15" s="171">
        <f t="shared" si="105"/>
        <v>0</v>
      </c>
      <c r="JI15" s="171">
        <v>0</v>
      </c>
      <c r="JJ15" s="171">
        <v>0</v>
      </c>
      <c r="JK15" s="171">
        <f t="shared" si="106"/>
        <v>0</v>
      </c>
      <c r="JL15" s="171">
        <v>0</v>
      </c>
      <c r="JM15" s="171">
        <v>0</v>
      </c>
      <c r="JN15" s="171">
        <f t="shared" si="107"/>
        <v>0</v>
      </c>
      <c r="JO15" s="171">
        <v>0</v>
      </c>
      <c r="JP15" s="171">
        <v>0</v>
      </c>
      <c r="JQ15" s="171">
        <f t="shared" si="108"/>
        <v>0</v>
      </c>
      <c r="JR15" s="171">
        <v>0</v>
      </c>
      <c r="JS15" s="171">
        <v>0</v>
      </c>
      <c r="JT15" s="171">
        <f t="shared" si="109"/>
        <v>0</v>
      </c>
      <c r="JU15" s="171">
        <v>0</v>
      </c>
      <c r="JV15" s="171">
        <v>0</v>
      </c>
      <c r="JW15" s="171">
        <f t="shared" si="110"/>
        <v>0</v>
      </c>
      <c r="JX15" s="171">
        <v>0</v>
      </c>
      <c r="JY15" s="171">
        <v>0</v>
      </c>
      <c r="JZ15" s="171">
        <f t="shared" si="111"/>
        <v>0</v>
      </c>
      <c r="KA15" s="171">
        <v>4623.1739200000002</v>
      </c>
      <c r="KC15" s="171">
        <v>3347.4630400000001</v>
      </c>
      <c r="KE15" s="171">
        <f t="shared" si="112"/>
        <v>-1275.7108800000001</v>
      </c>
      <c r="KF15" s="171">
        <f t="shared" si="113"/>
        <v>0</v>
      </c>
    </row>
    <row r="16" spans="1:292" s="171" customFormat="1" x14ac:dyDescent="0.25">
      <c r="A16" s="169" t="s">
        <v>160</v>
      </c>
      <c r="B16" s="170">
        <v>0</v>
      </c>
      <c r="C16" s="170">
        <v>734620.74320000003</v>
      </c>
      <c r="D16" s="170">
        <v>38792.000350000002</v>
      </c>
      <c r="E16" s="170">
        <v>25055.35973</v>
      </c>
      <c r="F16" s="171">
        <f t="shared" si="19"/>
        <v>798468.10328000004</v>
      </c>
      <c r="G16" s="170">
        <v>0</v>
      </c>
      <c r="H16" s="170">
        <v>734290.26462000003</v>
      </c>
      <c r="I16" s="170">
        <v>40795.397519999999</v>
      </c>
      <c r="J16" s="170">
        <v>24609.39374</v>
      </c>
      <c r="K16" s="171">
        <f t="shared" si="20"/>
        <v>799695.05588</v>
      </c>
      <c r="L16" s="170">
        <v>23356.726920000001</v>
      </c>
      <c r="M16" s="170">
        <v>471.29649000000001</v>
      </c>
      <c r="N16" s="170">
        <v>1609.19607</v>
      </c>
      <c r="O16" s="171">
        <f t="shared" si="21"/>
        <v>25437.21948</v>
      </c>
      <c r="P16" s="170">
        <v>22906.335630000001</v>
      </c>
      <c r="Q16" s="170">
        <v>440.76239000000004</v>
      </c>
      <c r="R16" s="170">
        <v>1609.19607</v>
      </c>
      <c r="S16" s="171">
        <f t="shared" si="22"/>
        <v>24956.294090000003</v>
      </c>
      <c r="T16" s="170">
        <v>0</v>
      </c>
      <c r="U16" s="170">
        <v>741622.40431000001</v>
      </c>
      <c r="V16" s="170">
        <v>42270.72509</v>
      </c>
      <c r="W16" s="170">
        <v>25164.246739999999</v>
      </c>
      <c r="X16" s="171">
        <f t="shared" si="23"/>
        <v>809057.37613999995</v>
      </c>
      <c r="Y16" s="170">
        <v>0</v>
      </c>
      <c r="Z16" s="170">
        <v>727783.04880999995</v>
      </c>
      <c r="AA16" s="170">
        <v>39638.961380000001</v>
      </c>
      <c r="AB16" s="170">
        <v>22743.92715</v>
      </c>
      <c r="AC16" s="171">
        <f t="shared" si="24"/>
        <v>790165.93733999995</v>
      </c>
      <c r="AD16" s="171">
        <f t="shared" si="25"/>
        <v>773030.88380000007</v>
      </c>
      <c r="AE16" s="171">
        <f t="shared" si="0"/>
        <v>774738.76179000002</v>
      </c>
      <c r="AF16" s="171">
        <f t="shared" si="26"/>
        <v>100.22093269826485</v>
      </c>
      <c r="AG16" s="172">
        <v>773228</v>
      </c>
      <c r="AH16" s="172">
        <f t="shared" si="27"/>
        <v>197.11619999993127</v>
      </c>
      <c r="AI16" s="172">
        <v>774739</v>
      </c>
      <c r="AJ16" s="172">
        <f t="shared" si="28"/>
        <v>0.2382099999813363</v>
      </c>
      <c r="AK16" s="171">
        <f t="shared" si="1"/>
        <v>783620.15665999998</v>
      </c>
      <c r="AL16" s="171">
        <f t="shared" si="2"/>
        <v>765209.64324999996</v>
      </c>
      <c r="AM16" s="171">
        <f t="shared" si="29"/>
        <v>97.650581949235388</v>
      </c>
      <c r="AN16" s="173">
        <v>0</v>
      </c>
      <c r="AO16" s="173">
        <v>-8365.8750299999992</v>
      </c>
      <c r="AP16" s="173">
        <v>-3478.7247400000001</v>
      </c>
      <c r="AQ16" s="173">
        <v>-108.88701</v>
      </c>
      <c r="AR16" s="171">
        <f t="shared" si="30"/>
        <v>-11953.486779999999</v>
      </c>
      <c r="AS16" s="173">
        <v>0</v>
      </c>
      <c r="AT16" s="173">
        <v>6507.2158099999997</v>
      </c>
      <c r="AU16" s="173">
        <v>1156.43614</v>
      </c>
      <c r="AV16" s="173">
        <v>1865.46659</v>
      </c>
      <c r="AW16" s="171">
        <f t="shared" si="31"/>
        <v>9529.1185399999995</v>
      </c>
      <c r="AX16" s="170">
        <v>0</v>
      </c>
      <c r="AY16" s="170">
        <v>614392.69094999996</v>
      </c>
      <c r="AZ16" s="170">
        <v>5745.5640700000004</v>
      </c>
      <c r="BA16" s="170">
        <v>17610.812849999998</v>
      </c>
      <c r="BB16" s="312">
        <f t="shared" si="32"/>
        <v>0.35000000000218279</v>
      </c>
      <c r="BC16" s="171">
        <f t="shared" si="33"/>
        <v>637749.06786999991</v>
      </c>
      <c r="BD16" s="170">
        <v>0</v>
      </c>
      <c r="BE16" s="170">
        <v>609416.67128999997</v>
      </c>
      <c r="BF16" s="170">
        <v>5555.0437899999997</v>
      </c>
      <c r="BG16" s="170">
        <v>17351.291840000002</v>
      </c>
      <c r="BH16" s="312">
        <f t="shared" si="3"/>
        <v>0</v>
      </c>
      <c r="BI16" s="171">
        <f t="shared" si="34"/>
        <v>632323.00691999996</v>
      </c>
      <c r="BJ16" s="171">
        <f t="shared" si="4"/>
        <v>612311.84838999994</v>
      </c>
      <c r="BK16" s="171">
        <f t="shared" si="5"/>
        <v>607366.71282999997</v>
      </c>
      <c r="BL16" s="171">
        <f t="shared" si="35"/>
        <v>99.192382840050769</v>
      </c>
      <c r="BM16" s="170">
        <v>0</v>
      </c>
      <c r="BN16" s="170">
        <v>120712.13834999999</v>
      </c>
      <c r="BO16" s="170">
        <v>32546.436280000002</v>
      </c>
      <c r="BP16" s="170">
        <v>8703.5908799999997</v>
      </c>
      <c r="BQ16" s="171">
        <f t="shared" si="36"/>
        <v>161962.16550999999</v>
      </c>
      <c r="BR16" s="171">
        <f t="shared" si="6"/>
        <v>161962.16550999999</v>
      </c>
      <c r="BS16" s="170">
        <v>0</v>
      </c>
      <c r="BT16" s="170">
        <v>125357.67943</v>
      </c>
      <c r="BU16" s="170">
        <v>34740.353730000003</v>
      </c>
      <c r="BV16" s="170">
        <v>8517.1458999999995</v>
      </c>
      <c r="BW16" s="171">
        <f t="shared" si="37"/>
        <v>168615.17905999999</v>
      </c>
      <c r="BX16" s="171">
        <f t="shared" si="7"/>
        <v>168615.17905999999</v>
      </c>
      <c r="BY16" s="171">
        <v>9070.2887699999992</v>
      </c>
      <c r="BZ16" s="173">
        <v>8087.2123000000001</v>
      </c>
      <c r="CA16" s="171">
        <f t="shared" si="38"/>
        <v>8087.2123000000001</v>
      </c>
      <c r="CB16" s="173">
        <v>8328.9035299999996</v>
      </c>
      <c r="CC16" s="171">
        <f t="shared" si="38"/>
        <v>8328.9035299999996</v>
      </c>
      <c r="CD16" s="171">
        <f t="shared" si="8"/>
        <v>102.98856047095487</v>
      </c>
      <c r="CE16" s="171">
        <f t="shared" si="39"/>
        <v>-8.1737776910932922</v>
      </c>
      <c r="CF16" s="173">
        <v>3296.73128</v>
      </c>
      <c r="CG16" s="171">
        <f t="shared" si="40"/>
        <v>3296.73128</v>
      </c>
      <c r="CH16" s="269">
        <v>2321.5702000000001</v>
      </c>
      <c r="CI16" s="171">
        <f t="shared" si="41"/>
        <v>2321.5702000000001</v>
      </c>
      <c r="CJ16" s="171">
        <f t="shared" si="9"/>
        <v>70.420364986496566</v>
      </c>
      <c r="CK16" s="173">
        <v>10352</v>
      </c>
      <c r="CL16" s="171">
        <f t="shared" si="42"/>
        <v>10352</v>
      </c>
      <c r="CM16" s="173">
        <v>10689.35377</v>
      </c>
      <c r="CN16" s="171">
        <f t="shared" si="43"/>
        <v>10689.35377</v>
      </c>
      <c r="CO16" s="173">
        <v>10951.276250000001</v>
      </c>
      <c r="CP16" s="171">
        <f t="shared" si="44"/>
        <v>10951.276250000001</v>
      </c>
      <c r="CQ16" s="171">
        <f t="shared" si="10"/>
        <v>105.78899005023185</v>
      </c>
      <c r="CR16" s="171">
        <f t="shared" si="45"/>
        <v>261.92248000000109</v>
      </c>
      <c r="CS16" s="171">
        <f t="shared" si="46"/>
        <v>2.4503116431144321</v>
      </c>
      <c r="CT16" s="171">
        <v>14381.78536</v>
      </c>
      <c r="CU16" s="173">
        <v>14894.15266</v>
      </c>
      <c r="CV16" s="171">
        <f t="shared" si="47"/>
        <v>14894.15266</v>
      </c>
      <c r="CW16" s="173">
        <v>14726.39746</v>
      </c>
      <c r="CX16" s="171">
        <f t="shared" ref="CX16" si="120">(CW16)</f>
        <v>14726.39746</v>
      </c>
      <c r="CY16" s="171">
        <f t="shared" si="11"/>
        <v>98.873684164319556</v>
      </c>
      <c r="CZ16" s="171">
        <f t="shared" si="49"/>
        <v>2.3961705127269397</v>
      </c>
      <c r="DA16" s="171">
        <v>12487.49475</v>
      </c>
      <c r="DB16" s="171">
        <v>1930.0641000000001</v>
      </c>
      <c r="DC16" s="173">
        <v>19016.613290000001</v>
      </c>
      <c r="DD16" s="171">
        <f t="shared" si="50"/>
        <v>19016.613290000001</v>
      </c>
      <c r="DE16" s="173">
        <v>182.32679999999999</v>
      </c>
      <c r="DF16" s="171">
        <f t="shared" si="51"/>
        <v>182.32679999999999</v>
      </c>
      <c r="DG16" s="171">
        <f t="shared" si="12"/>
        <v>6529.1185400000013</v>
      </c>
      <c r="DH16" s="171">
        <f t="shared" si="13"/>
        <v>-1747.7373</v>
      </c>
      <c r="DI16" s="171">
        <v>20000</v>
      </c>
      <c r="DJ16" s="171">
        <v>17000</v>
      </c>
      <c r="DK16" s="171">
        <f t="shared" si="52"/>
        <v>-3000</v>
      </c>
      <c r="DL16" s="170">
        <v>0</v>
      </c>
      <c r="DM16" s="170">
        <v>613908.60485</v>
      </c>
      <c r="DN16" s="170">
        <v>6245.5640700000004</v>
      </c>
      <c r="DO16" s="170">
        <v>16351.76885</v>
      </c>
      <c r="DP16" s="171">
        <f t="shared" si="53"/>
        <v>636505.93776999996</v>
      </c>
      <c r="DQ16" s="170">
        <v>0</v>
      </c>
      <c r="DR16" s="170">
        <v>608932.58519000001</v>
      </c>
      <c r="DS16" s="170">
        <v>6055.0437899999997</v>
      </c>
      <c r="DT16" s="170">
        <v>16092.24784</v>
      </c>
      <c r="DU16" s="171">
        <f t="shared" si="54"/>
        <v>631079.87682</v>
      </c>
      <c r="DV16" s="174">
        <f t="shared" si="14"/>
        <v>611068.71828999999</v>
      </c>
      <c r="DW16" s="174">
        <f t="shared" si="15"/>
        <v>606123.58273000002</v>
      </c>
      <c r="DX16" s="171">
        <f t="shared" si="55"/>
        <v>99.190739860839486</v>
      </c>
      <c r="DY16" s="170">
        <v>110000.16722</v>
      </c>
      <c r="DZ16" s="171">
        <f t="shared" si="56"/>
        <v>110000.16722</v>
      </c>
      <c r="EA16" s="171">
        <v>35</v>
      </c>
      <c r="EB16" s="171">
        <f t="shared" si="57"/>
        <v>314286.19205714291</v>
      </c>
      <c r="EC16" s="171">
        <f t="shared" si="58"/>
        <v>110000.16722000002</v>
      </c>
      <c r="ED16" s="171">
        <f t="shared" si="59"/>
        <v>0</v>
      </c>
      <c r="EE16" s="170">
        <v>116627.84061</v>
      </c>
      <c r="EF16" s="171">
        <f t="shared" si="60"/>
        <v>116627.84061</v>
      </c>
      <c r="EG16" s="171">
        <f t="shared" si="61"/>
        <v>333222.40174285718</v>
      </c>
      <c r="EH16" s="171">
        <f t="shared" si="62"/>
        <v>116627.84061</v>
      </c>
      <c r="EI16" s="171">
        <f t="shared" si="63"/>
        <v>0</v>
      </c>
      <c r="EJ16" s="173">
        <v>9031.2379999999994</v>
      </c>
      <c r="EK16" s="171">
        <f t="shared" si="64"/>
        <v>9031.2379999999994</v>
      </c>
      <c r="EL16" s="171">
        <v>8077.2</v>
      </c>
      <c r="EM16" s="171">
        <v>8318.8237800000006</v>
      </c>
      <c r="EN16" s="171">
        <f t="shared" si="16"/>
        <v>-712.41421999999875</v>
      </c>
      <c r="EO16" s="171">
        <f t="shared" si="65"/>
        <v>-7.8883340246375866</v>
      </c>
      <c r="EV16" s="173">
        <v>27.9</v>
      </c>
      <c r="EW16" s="171">
        <f t="shared" si="66"/>
        <v>27.9</v>
      </c>
      <c r="EX16" s="313">
        <v>8.0122999999999998</v>
      </c>
      <c r="EY16" s="171">
        <v>8.0410000000000004</v>
      </c>
      <c r="EZ16" s="171">
        <f t="shared" si="17"/>
        <v>-19.858999999999998</v>
      </c>
      <c r="FA16" s="171">
        <f t="shared" si="67"/>
        <v>-71.179211469534039</v>
      </c>
      <c r="FB16" s="173">
        <v>11.15077</v>
      </c>
      <c r="FC16" s="171">
        <f t="shared" si="68"/>
        <v>11.15077</v>
      </c>
      <c r="FD16" s="171">
        <v>2</v>
      </c>
      <c r="FE16" s="171">
        <v>2.0387499999999998</v>
      </c>
      <c r="FF16" s="171">
        <f t="shared" si="69"/>
        <v>-9.1120199999999993</v>
      </c>
      <c r="FG16" s="171">
        <f t="shared" si="70"/>
        <v>-81.716509263485847</v>
      </c>
      <c r="FH16" s="171">
        <v>7369.1161599999759</v>
      </c>
      <c r="FI16" s="171">
        <v>6363.7663199999997</v>
      </c>
      <c r="FJ16" s="171">
        <v>7043.4992000001948</v>
      </c>
      <c r="FK16" s="171">
        <v>2052.9590699999999</v>
      </c>
      <c r="FL16" s="171">
        <f t="shared" si="71"/>
        <v>-325.6169599997811</v>
      </c>
      <c r="FM16" s="171">
        <f t="shared" si="72"/>
        <v>-4310.8072499999998</v>
      </c>
      <c r="FN16" s="171">
        <v>1872.07359</v>
      </c>
      <c r="FO16" s="171">
        <v>1872.07359</v>
      </c>
      <c r="FP16" s="171">
        <v>1359.4785899999999</v>
      </c>
      <c r="FQ16" s="171">
        <v>987.72456999999997</v>
      </c>
      <c r="FR16" s="171">
        <f t="shared" si="73"/>
        <v>-512.59500000000003</v>
      </c>
      <c r="FS16" s="171">
        <f t="shared" si="74"/>
        <v>-884.34902</v>
      </c>
      <c r="FT16" s="171">
        <v>2712.0085800000002</v>
      </c>
      <c r="FU16" s="171">
        <v>2601.9581699999999</v>
      </c>
      <c r="FV16" s="171">
        <v>3433.0142599999999</v>
      </c>
      <c r="FW16" s="171">
        <v>171.61152999999999</v>
      </c>
      <c r="FX16" s="171">
        <f t="shared" si="75"/>
        <v>721.00567999999976</v>
      </c>
      <c r="FY16" s="171">
        <f t="shared" si="76"/>
        <v>-2430.3466399999998</v>
      </c>
      <c r="FZ16" s="171">
        <v>1884.64437</v>
      </c>
      <c r="GA16" s="171">
        <v>1884.64437</v>
      </c>
      <c r="GB16" s="171">
        <v>1847.0436099999999</v>
      </c>
      <c r="GC16" s="171">
        <v>882.48441000000003</v>
      </c>
      <c r="GD16" s="171">
        <f t="shared" si="77"/>
        <v>-37.600760000000037</v>
      </c>
      <c r="GE16" s="171">
        <f t="shared" si="78"/>
        <v>-1002.15996</v>
      </c>
      <c r="GJ16" s="171">
        <f t="shared" si="79"/>
        <v>0</v>
      </c>
      <c r="GK16" s="171">
        <f t="shared" si="80"/>
        <v>0</v>
      </c>
      <c r="GL16" s="171">
        <v>0</v>
      </c>
      <c r="GM16" s="171">
        <v>0</v>
      </c>
      <c r="GN16" s="171">
        <v>0</v>
      </c>
      <c r="GO16" s="171">
        <v>0</v>
      </c>
      <c r="GP16" s="171">
        <f t="shared" si="81"/>
        <v>0</v>
      </c>
      <c r="GQ16" s="171">
        <f t="shared" si="82"/>
        <v>0</v>
      </c>
      <c r="GV16" s="171">
        <f t="shared" si="83"/>
        <v>0</v>
      </c>
      <c r="GW16" s="171">
        <f t="shared" si="84"/>
        <v>0</v>
      </c>
      <c r="HB16" s="171">
        <f t="shared" si="85"/>
        <v>0</v>
      </c>
      <c r="HC16" s="171">
        <f t="shared" si="86"/>
        <v>0</v>
      </c>
      <c r="HH16" s="171">
        <f t="shared" si="87"/>
        <v>0</v>
      </c>
      <c r="HI16" s="171">
        <f t="shared" si="88"/>
        <v>0</v>
      </c>
      <c r="HN16" s="171">
        <f t="shared" si="89"/>
        <v>0</v>
      </c>
      <c r="HO16" s="171">
        <f t="shared" si="90"/>
        <v>0</v>
      </c>
      <c r="HP16" s="171">
        <v>21.849170000000001</v>
      </c>
      <c r="HQ16" s="171">
        <v>5</v>
      </c>
      <c r="HR16" s="171">
        <v>2.5</v>
      </c>
      <c r="HS16" s="171">
        <v>2.5</v>
      </c>
      <c r="HT16" s="171">
        <f t="shared" si="91"/>
        <v>-19.349170000000001</v>
      </c>
      <c r="HU16" s="171">
        <f t="shared" si="92"/>
        <v>-2.5</v>
      </c>
      <c r="HV16" s="171">
        <v>0</v>
      </c>
      <c r="HW16" s="171">
        <v>0</v>
      </c>
      <c r="HX16" s="171">
        <v>0</v>
      </c>
      <c r="HY16" s="171">
        <v>0</v>
      </c>
      <c r="HZ16" s="171">
        <f t="shared" si="93"/>
        <v>0</v>
      </c>
      <c r="IA16" s="171">
        <f t="shared" si="94"/>
        <v>0</v>
      </c>
      <c r="IB16" s="171">
        <v>0</v>
      </c>
      <c r="IC16" s="171">
        <v>0</v>
      </c>
      <c r="ID16" s="171">
        <v>0</v>
      </c>
      <c r="IE16" s="171">
        <v>0</v>
      </c>
      <c r="IF16" s="171">
        <f t="shared" si="95"/>
        <v>0</v>
      </c>
      <c r="IG16" s="171">
        <f t="shared" si="96"/>
        <v>0</v>
      </c>
      <c r="IH16" s="171">
        <v>0</v>
      </c>
      <c r="II16" s="171">
        <v>0</v>
      </c>
      <c r="IJ16" s="171">
        <v>0</v>
      </c>
      <c r="IK16" s="171">
        <v>0</v>
      </c>
      <c r="IL16" s="171">
        <f t="shared" si="97"/>
        <v>0</v>
      </c>
      <c r="IM16" s="171">
        <f t="shared" si="98"/>
        <v>0</v>
      </c>
      <c r="IN16" s="171">
        <v>0</v>
      </c>
      <c r="IO16" s="171">
        <v>0</v>
      </c>
      <c r="IP16" s="171">
        <v>0</v>
      </c>
      <c r="IQ16" s="171">
        <v>0</v>
      </c>
      <c r="IR16" s="171">
        <f t="shared" si="99"/>
        <v>0</v>
      </c>
      <c r="IS16" s="171">
        <f t="shared" si="100"/>
        <v>0</v>
      </c>
      <c r="IT16" s="171">
        <v>10909.470300000001</v>
      </c>
      <c r="IU16" s="171">
        <v>4432.4705899999999</v>
      </c>
      <c r="IV16" s="171">
        <v>7317.4132300000001</v>
      </c>
      <c r="IW16" s="171">
        <v>240.58280999999999</v>
      </c>
      <c r="IX16" s="171">
        <f t="shared" si="101"/>
        <v>-3592.0570700000007</v>
      </c>
      <c r="IY16" s="171">
        <f t="shared" si="102"/>
        <v>-4191.88778</v>
      </c>
      <c r="JB16" s="171">
        <f t="shared" si="103"/>
        <v>0</v>
      </c>
      <c r="JE16" s="171">
        <f t="shared" si="104"/>
        <v>0</v>
      </c>
      <c r="JF16" s="171">
        <v>4142.2381400000004</v>
      </c>
      <c r="JG16" s="171">
        <v>239.36680999999999</v>
      </c>
      <c r="JH16" s="171">
        <f t="shared" si="105"/>
        <v>-3902.8713300000004</v>
      </c>
      <c r="JI16" s="171">
        <v>0</v>
      </c>
      <c r="JJ16" s="171">
        <v>0</v>
      </c>
      <c r="JK16" s="171">
        <f t="shared" si="106"/>
        <v>0</v>
      </c>
      <c r="JL16" s="171">
        <v>0</v>
      </c>
      <c r="JM16" s="171">
        <v>0</v>
      </c>
      <c r="JN16" s="171">
        <f t="shared" si="107"/>
        <v>0</v>
      </c>
      <c r="JO16" s="171">
        <v>0</v>
      </c>
      <c r="JP16" s="171">
        <v>0</v>
      </c>
      <c r="JQ16" s="171">
        <f t="shared" si="108"/>
        <v>0</v>
      </c>
      <c r="JR16" s="171">
        <v>0</v>
      </c>
      <c r="JS16" s="171">
        <v>0</v>
      </c>
      <c r="JT16" s="171">
        <f t="shared" si="109"/>
        <v>0</v>
      </c>
      <c r="JU16" s="171">
        <v>0</v>
      </c>
      <c r="JV16" s="171">
        <v>0</v>
      </c>
      <c r="JW16" s="171">
        <f t="shared" si="110"/>
        <v>0</v>
      </c>
      <c r="JX16" s="171">
        <v>0</v>
      </c>
      <c r="JY16" s="171">
        <v>0</v>
      </c>
      <c r="JZ16" s="171">
        <f t="shared" si="111"/>
        <v>0</v>
      </c>
      <c r="KA16" s="171">
        <v>5382.6536100000003</v>
      </c>
      <c r="KC16" s="171">
        <v>3710.2382699999998</v>
      </c>
      <c r="KE16" s="171">
        <f t="shared" si="112"/>
        <v>-1672.4153400000005</v>
      </c>
      <c r="KF16" s="171">
        <f t="shared" si="113"/>
        <v>0</v>
      </c>
    </row>
    <row r="17" spans="1:293" s="171" customFormat="1" x14ac:dyDescent="0.25">
      <c r="A17" s="169" t="s">
        <v>161</v>
      </c>
      <c r="B17" s="170">
        <v>0</v>
      </c>
      <c r="C17" s="170">
        <v>514898.89649999997</v>
      </c>
      <c r="D17" s="170">
        <v>0</v>
      </c>
      <c r="E17" s="170">
        <v>49983.759489999997</v>
      </c>
      <c r="F17" s="171">
        <f t="shared" si="19"/>
        <v>564882.65599</v>
      </c>
      <c r="G17" s="170">
        <v>0</v>
      </c>
      <c r="H17" s="170">
        <v>513513.01189000002</v>
      </c>
      <c r="I17" s="170">
        <v>0</v>
      </c>
      <c r="J17" s="170">
        <v>50669.158150000003</v>
      </c>
      <c r="K17" s="171">
        <f t="shared" si="20"/>
        <v>564182.17004</v>
      </c>
      <c r="L17" s="170">
        <v>42160.71559</v>
      </c>
      <c r="M17" s="170">
        <v>0</v>
      </c>
      <c r="N17" s="170">
        <v>3454</v>
      </c>
      <c r="O17" s="171">
        <f t="shared" si="21"/>
        <v>45614.71559</v>
      </c>
      <c r="P17" s="170">
        <v>42160.71559</v>
      </c>
      <c r="Q17" s="170">
        <v>0</v>
      </c>
      <c r="R17" s="170">
        <v>3454</v>
      </c>
      <c r="S17" s="171">
        <f t="shared" si="22"/>
        <v>45614.71559</v>
      </c>
      <c r="T17" s="170">
        <v>0</v>
      </c>
      <c r="U17" s="170">
        <v>532536.67059999995</v>
      </c>
      <c r="V17" s="170">
        <v>0</v>
      </c>
      <c r="W17" s="170">
        <v>53618.698759999999</v>
      </c>
      <c r="X17" s="171">
        <f t="shared" si="23"/>
        <v>586155.3693599999</v>
      </c>
      <c r="Y17" s="170">
        <v>0</v>
      </c>
      <c r="Z17" s="170">
        <v>512245.00024000002</v>
      </c>
      <c r="AA17" s="170">
        <v>0</v>
      </c>
      <c r="AB17" s="170">
        <v>50286.128850000001</v>
      </c>
      <c r="AC17" s="171">
        <f t="shared" si="24"/>
        <v>562531.12909000006</v>
      </c>
      <c r="AD17" s="171">
        <f t="shared" si="25"/>
        <v>519267.94040000002</v>
      </c>
      <c r="AE17" s="171">
        <f t="shared" si="0"/>
        <v>518567.45445000002</v>
      </c>
      <c r="AF17" s="171">
        <f t="shared" si="26"/>
        <v>99.865101252070289</v>
      </c>
      <c r="AG17" s="172">
        <v>519268</v>
      </c>
      <c r="AH17" s="172">
        <f t="shared" si="27"/>
        <v>5.9599999978672713E-2</v>
      </c>
      <c r="AI17" s="172">
        <v>518567</v>
      </c>
      <c r="AJ17" s="172">
        <f t="shared" si="28"/>
        <v>-0.45445000001927838</v>
      </c>
      <c r="AK17" s="171">
        <f t="shared" si="1"/>
        <v>540540.65376999986</v>
      </c>
      <c r="AL17" s="171">
        <f t="shared" si="2"/>
        <v>516916.41350000008</v>
      </c>
      <c r="AM17" s="171">
        <f t="shared" si="29"/>
        <v>95.629516465554886</v>
      </c>
      <c r="AN17" s="173">
        <v>0</v>
      </c>
      <c r="AO17" s="173">
        <v>-17650.187099999999</v>
      </c>
      <c r="AP17" s="173">
        <v>0</v>
      </c>
      <c r="AQ17" s="173">
        <v>-3634.9392699999999</v>
      </c>
      <c r="AR17" s="171">
        <f t="shared" si="30"/>
        <v>-21285.126369999998</v>
      </c>
      <c r="AS17" s="173">
        <v>0</v>
      </c>
      <c r="AT17" s="173">
        <v>1268.0116499999999</v>
      </c>
      <c r="AU17" s="173">
        <v>0</v>
      </c>
      <c r="AV17" s="173">
        <v>383.02929999999998</v>
      </c>
      <c r="AW17" s="171">
        <f t="shared" si="31"/>
        <v>1651.0409499999998</v>
      </c>
      <c r="AX17" s="170">
        <v>0</v>
      </c>
      <c r="AY17" s="170">
        <v>468869.14016000001</v>
      </c>
      <c r="AZ17" s="170">
        <v>0</v>
      </c>
      <c r="BA17" s="170">
        <v>42160.71559</v>
      </c>
      <c r="BB17" s="312">
        <f t="shared" si="32"/>
        <v>0</v>
      </c>
      <c r="BC17" s="171">
        <f t="shared" si="33"/>
        <v>511029.85574999999</v>
      </c>
      <c r="BD17" s="170">
        <v>0</v>
      </c>
      <c r="BE17" s="170">
        <v>466056.52567</v>
      </c>
      <c r="BF17" s="170">
        <v>0</v>
      </c>
      <c r="BG17" s="170">
        <v>42160.71559</v>
      </c>
      <c r="BH17" s="312">
        <f t="shared" si="3"/>
        <v>0</v>
      </c>
      <c r="BI17" s="171">
        <f t="shared" si="34"/>
        <v>508217.24125999998</v>
      </c>
      <c r="BJ17" s="171">
        <f t="shared" si="4"/>
        <v>465415.14016000001</v>
      </c>
      <c r="BK17" s="171">
        <f t="shared" si="5"/>
        <v>462602.52567</v>
      </c>
      <c r="BL17" s="171">
        <f t="shared" si="35"/>
        <v>99.395676193723929</v>
      </c>
      <c r="BM17" s="170">
        <v>0</v>
      </c>
      <c r="BN17" s="170">
        <v>46070.72898</v>
      </c>
      <c r="BO17" s="170">
        <v>0</v>
      </c>
      <c r="BP17" s="170">
        <v>7719.4</v>
      </c>
      <c r="BQ17" s="171">
        <f t="shared" si="36"/>
        <v>53790.128980000001</v>
      </c>
      <c r="BR17" s="171">
        <f t="shared" si="6"/>
        <v>53790.128980000001</v>
      </c>
      <c r="BS17" s="170">
        <v>0</v>
      </c>
      <c r="BT17" s="170">
        <v>47497.458859999999</v>
      </c>
      <c r="BU17" s="170">
        <v>0</v>
      </c>
      <c r="BV17" s="170">
        <v>8404.7986600000004</v>
      </c>
      <c r="BW17" s="171">
        <f t="shared" si="37"/>
        <v>55902.257519999999</v>
      </c>
      <c r="BX17" s="171">
        <f t="shared" si="7"/>
        <v>55902.257519999999</v>
      </c>
      <c r="BY17" s="171">
        <v>2994.1743099999999</v>
      </c>
      <c r="BZ17" s="173">
        <v>3125</v>
      </c>
      <c r="CA17" s="171">
        <f t="shared" si="38"/>
        <v>3125</v>
      </c>
      <c r="CB17" s="173">
        <v>2549.1206299999999</v>
      </c>
      <c r="CC17" s="171">
        <f t="shared" si="38"/>
        <v>2549.1206299999999</v>
      </c>
      <c r="CD17" s="171">
        <f t="shared" si="8"/>
        <v>81.57186016</v>
      </c>
      <c r="CE17" s="171">
        <f t="shared" si="39"/>
        <v>-14.863986993462646</v>
      </c>
      <c r="CF17" s="173">
        <v>544</v>
      </c>
      <c r="CG17" s="171">
        <f t="shared" si="40"/>
        <v>544</v>
      </c>
      <c r="CH17" s="269">
        <v>33.548639999999999</v>
      </c>
      <c r="CI17" s="171">
        <f t="shared" si="41"/>
        <v>33.548639999999999</v>
      </c>
      <c r="CJ17" s="171">
        <f t="shared" si="9"/>
        <v>6.1670294117647053</v>
      </c>
      <c r="CK17" s="173">
        <v>1545</v>
      </c>
      <c r="CL17" s="171">
        <f t="shared" si="42"/>
        <v>1545</v>
      </c>
      <c r="CM17" s="173">
        <v>1707.7752599999999</v>
      </c>
      <c r="CN17" s="171">
        <f t="shared" si="43"/>
        <v>1707.7752599999999</v>
      </c>
      <c r="CO17" s="173">
        <v>1609.99729</v>
      </c>
      <c r="CP17" s="171">
        <f t="shared" si="44"/>
        <v>1609.99729</v>
      </c>
      <c r="CQ17" s="171">
        <f t="shared" si="10"/>
        <v>104.20694433656959</v>
      </c>
      <c r="CR17" s="171">
        <f t="shared" si="45"/>
        <v>-97.777969999999868</v>
      </c>
      <c r="CS17" s="171">
        <f t="shared" si="46"/>
        <v>-5.7254588639491146</v>
      </c>
      <c r="CT17" s="171">
        <v>9937.5237400000005</v>
      </c>
      <c r="CU17" s="173">
        <v>6051</v>
      </c>
      <c r="CV17" s="171">
        <f t="shared" si="47"/>
        <v>6051</v>
      </c>
      <c r="CW17" s="173">
        <v>6498.57834</v>
      </c>
      <c r="CX17" s="171">
        <f t="shared" ref="CX17" si="121">(CW17)</f>
        <v>6498.57834</v>
      </c>
      <c r="CY17" s="171">
        <f t="shared" si="11"/>
        <v>107.39676648487854</v>
      </c>
      <c r="CZ17" s="171">
        <f t="shared" si="49"/>
        <v>-34.605657203692886</v>
      </c>
      <c r="DA17" s="171">
        <v>26785.126370000002</v>
      </c>
      <c r="DB17" s="171">
        <v>4417.2705500000002</v>
      </c>
      <c r="DC17" s="173">
        <v>22936.16732</v>
      </c>
      <c r="DD17" s="171">
        <f t="shared" si="50"/>
        <v>22936.16732</v>
      </c>
      <c r="DE17" s="173">
        <v>2559.6236699999999</v>
      </c>
      <c r="DF17" s="171">
        <f t="shared" si="51"/>
        <v>2559.6236699999999</v>
      </c>
      <c r="DG17" s="171">
        <f t="shared" si="12"/>
        <v>-3848.9590500000013</v>
      </c>
      <c r="DH17" s="171">
        <f t="shared" si="13"/>
        <v>-1857.6468800000002</v>
      </c>
      <c r="DI17" s="171">
        <v>5500</v>
      </c>
      <c r="DJ17" s="171">
        <v>0</v>
      </c>
      <c r="DK17" s="171">
        <f t="shared" si="52"/>
        <v>-5500</v>
      </c>
      <c r="DL17" s="170">
        <v>0</v>
      </c>
      <c r="DM17" s="170">
        <v>468828.16752000002</v>
      </c>
      <c r="DN17" s="170">
        <v>0</v>
      </c>
      <c r="DO17" s="170">
        <v>42264.359490000003</v>
      </c>
      <c r="DP17" s="171">
        <f t="shared" si="53"/>
        <v>511092.52701000002</v>
      </c>
      <c r="DQ17" s="170">
        <v>0</v>
      </c>
      <c r="DR17" s="170">
        <v>466015.55303000001</v>
      </c>
      <c r="DS17" s="170">
        <v>0</v>
      </c>
      <c r="DT17" s="170">
        <v>42264.359490000003</v>
      </c>
      <c r="DU17" s="171">
        <f t="shared" si="54"/>
        <v>508279.91252000001</v>
      </c>
      <c r="DV17" s="174">
        <f t="shared" si="14"/>
        <v>465477.81142000004</v>
      </c>
      <c r="DW17" s="174">
        <f t="shared" si="15"/>
        <v>462665.19693000003</v>
      </c>
      <c r="DX17" s="171">
        <f t="shared" si="55"/>
        <v>99.395757559008075</v>
      </c>
      <c r="DY17" s="170">
        <v>34036.199999999997</v>
      </c>
      <c r="DZ17" s="171">
        <f t="shared" si="56"/>
        <v>34036.199999999997</v>
      </c>
      <c r="EA17" s="171">
        <v>35</v>
      </c>
      <c r="EB17" s="171">
        <f t="shared" si="57"/>
        <v>97246.285714285696</v>
      </c>
      <c r="EC17" s="171">
        <f t="shared" si="58"/>
        <v>34036.19999999999</v>
      </c>
      <c r="ED17" s="171">
        <f t="shared" si="59"/>
        <v>0</v>
      </c>
      <c r="EE17" s="170">
        <v>36310.61477</v>
      </c>
      <c r="EF17" s="171">
        <f t="shared" si="60"/>
        <v>36310.61477</v>
      </c>
      <c r="EG17" s="171">
        <f t="shared" si="61"/>
        <v>103744.61362857143</v>
      </c>
      <c r="EH17" s="171">
        <f t="shared" si="62"/>
        <v>36310.61477</v>
      </c>
      <c r="EI17" s="171">
        <f t="shared" si="63"/>
        <v>0</v>
      </c>
      <c r="EJ17" s="173">
        <v>2904.68984</v>
      </c>
      <c r="EK17" s="171">
        <f t="shared" si="64"/>
        <v>2904.68984</v>
      </c>
      <c r="EL17" s="171">
        <v>3053</v>
      </c>
      <c r="EM17" s="171">
        <v>2378.09863</v>
      </c>
      <c r="EN17" s="171">
        <f t="shared" si="16"/>
        <v>-526.59121000000005</v>
      </c>
      <c r="EO17" s="171">
        <f t="shared" si="65"/>
        <v>-18.128999618079703</v>
      </c>
      <c r="EV17" s="173">
        <v>0</v>
      </c>
      <c r="EW17" s="171">
        <f t="shared" si="66"/>
        <v>0</v>
      </c>
      <c r="EX17" s="313">
        <v>0</v>
      </c>
      <c r="EY17" s="171">
        <v>0</v>
      </c>
      <c r="EZ17" s="171">
        <f t="shared" si="17"/>
        <v>0</v>
      </c>
      <c r="FA17" s="171" t="e">
        <f t="shared" si="67"/>
        <v>#DIV/0!</v>
      </c>
      <c r="FB17" s="173">
        <v>89.484470000000002</v>
      </c>
      <c r="FC17" s="171">
        <f t="shared" si="68"/>
        <v>89.484470000000002</v>
      </c>
      <c r="FD17" s="171">
        <v>72</v>
      </c>
      <c r="FE17" s="171">
        <v>171.02199999999999</v>
      </c>
      <c r="FF17" s="171">
        <f t="shared" si="69"/>
        <v>81.53752999999999</v>
      </c>
      <c r="FG17" s="171">
        <f t="shared" si="70"/>
        <v>91.119196437102431</v>
      </c>
      <c r="FH17" s="171">
        <v>4792.2264000000432</v>
      </c>
      <c r="FI17" s="171">
        <v>2552.8753200000001</v>
      </c>
      <c r="FJ17" s="171">
        <v>5522.2741099999985</v>
      </c>
      <c r="FK17" s="171">
        <v>2900.0267699999999</v>
      </c>
      <c r="FL17" s="171">
        <f t="shared" si="71"/>
        <v>730.04770999995526</v>
      </c>
      <c r="FM17" s="171">
        <f t="shared" si="72"/>
        <v>347.15144999999984</v>
      </c>
      <c r="FN17" s="171">
        <v>417.42746</v>
      </c>
      <c r="FO17" s="171">
        <v>417.42746</v>
      </c>
      <c r="FP17" s="171">
        <v>636.79244000000006</v>
      </c>
      <c r="FQ17" s="171">
        <v>339.54340000000002</v>
      </c>
      <c r="FR17" s="171">
        <f t="shared" si="73"/>
        <v>219.36498000000006</v>
      </c>
      <c r="FS17" s="171">
        <f t="shared" si="74"/>
        <v>-77.884059999999977</v>
      </c>
      <c r="FT17" s="171">
        <v>1682.5102400000001</v>
      </c>
      <c r="FU17" s="171">
        <v>209.02696</v>
      </c>
      <c r="FV17" s="171">
        <v>1659.10157</v>
      </c>
      <c r="FW17" s="171">
        <v>317.39190000000002</v>
      </c>
      <c r="FX17" s="171">
        <f t="shared" si="75"/>
        <v>-23.408670000000029</v>
      </c>
      <c r="FY17" s="171">
        <f t="shared" si="76"/>
        <v>108.36494000000002</v>
      </c>
      <c r="FZ17" s="171">
        <v>712.24</v>
      </c>
      <c r="GA17" s="171">
        <v>712.24</v>
      </c>
      <c r="GB17" s="171">
        <v>895.99199999999996</v>
      </c>
      <c r="GC17" s="171">
        <v>895.99199999999996</v>
      </c>
      <c r="GD17" s="171">
        <f t="shared" si="77"/>
        <v>183.75199999999995</v>
      </c>
      <c r="GE17" s="171">
        <f t="shared" si="78"/>
        <v>183.75199999999995</v>
      </c>
      <c r="GJ17" s="171">
        <f t="shared" si="79"/>
        <v>0</v>
      </c>
      <c r="GK17" s="171">
        <f t="shared" si="80"/>
        <v>0</v>
      </c>
      <c r="GL17" s="171">
        <v>1787.53214</v>
      </c>
      <c r="GM17" s="171">
        <v>1209.1809000000001</v>
      </c>
      <c r="GN17" s="171">
        <v>2071.1603500000001</v>
      </c>
      <c r="GO17" s="171">
        <v>1342.0994700000001</v>
      </c>
      <c r="GP17" s="171">
        <f t="shared" si="81"/>
        <v>283.62821000000008</v>
      </c>
      <c r="GQ17" s="171">
        <f t="shared" si="82"/>
        <v>132.91857000000005</v>
      </c>
      <c r="GV17" s="171">
        <f t="shared" si="83"/>
        <v>0</v>
      </c>
      <c r="GW17" s="171">
        <f t="shared" si="84"/>
        <v>0</v>
      </c>
      <c r="HB17" s="171">
        <f t="shared" si="85"/>
        <v>0</v>
      </c>
      <c r="HC17" s="171">
        <f t="shared" si="86"/>
        <v>0</v>
      </c>
      <c r="HH17" s="171">
        <f t="shared" si="87"/>
        <v>0</v>
      </c>
      <c r="HI17" s="171">
        <f t="shared" si="88"/>
        <v>0</v>
      </c>
      <c r="HN17" s="171">
        <f t="shared" si="89"/>
        <v>0</v>
      </c>
      <c r="HO17" s="171">
        <f t="shared" si="90"/>
        <v>0</v>
      </c>
      <c r="HP17" s="171">
        <v>5</v>
      </c>
      <c r="HQ17" s="171">
        <v>5</v>
      </c>
      <c r="HR17" s="171">
        <v>5</v>
      </c>
      <c r="HS17" s="171">
        <v>5</v>
      </c>
      <c r="HT17" s="171">
        <f t="shared" si="91"/>
        <v>0</v>
      </c>
      <c r="HU17" s="171">
        <f t="shared" si="92"/>
        <v>0</v>
      </c>
      <c r="HV17" s="171">
        <v>0</v>
      </c>
      <c r="HW17" s="171">
        <v>0</v>
      </c>
      <c r="HX17" s="171">
        <v>0</v>
      </c>
      <c r="HY17" s="171">
        <v>0</v>
      </c>
      <c r="HZ17" s="171">
        <f t="shared" si="93"/>
        <v>0</v>
      </c>
      <c r="IA17" s="171">
        <f t="shared" si="94"/>
        <v>0</v>
      </c>
      <c r="IB17" s="171">
        <v>0</v>
      </c>
      <c r="IC17" s="171">
        <v>0</v>
      </c>
      <c r="ID17" s="171">
        <v>0</v>
      </c>
      <c r="IE17" s="171">
        <v>0</v>
      </c>
      <c r="IF17" s="171">
        <f t="shared" si="95"/>
        <v>0</v>
      </c>
      <c r="IG17" s="171">
        <f t="shared" si="96"/>
        <v>0</v>
      </c>
      <c r="IH17" s="171">
        <v>0</v>
      </c>
      <c r="II17" s="171">
        <v>0</v>
      </c>
      <c r="IJ17" s="171">
        <v>0</v>
      </c>
      <c r="IK17" s="171">
        <v>0</v>
      </c>
      <c r="IL17" s="171">
        <f t="shared" si="97"/>
        <v>0</v>
      </c>
      <c r="IM17" s="171">
        <f t="shared" si="98"/>
        <v>0</v>
      </c>
      <c r="IN17" s="171">
        <v>0</v>
      </c>
      <c r="IO17" s="171">
        <v>0</v>
      </c>
      <c r="IP17" s="171">
        <v>0</v>
      </c>
      <c r="IQ17" s="171">
        <v>0</v>
      </c>
      <c r="IR17" s="171">
        <f t="shared" si="99"/>
        <v>0</v>
      </c>
      <c r="IS17" s="171">
        <f t="shared" si="100"/>
        <v>0</v>
      </c>
      <c r="IT17" s="171">
        <v>5765.3153799999991</v>
      </c>
      <c r="IU17" s="171">
        <v>0</v>
      </c>
      <c r="IV17" s="171">
        <v>4776.9948199999999</v>
      </c>
      <c r="IW17" s="171">
        <v>0</v>
      </c>
      <c r="IX17" s="171">
        <f t="shared" si="101"/>
        <v>-988.3205599999992</v>
      </c>
      <c r="IY17" s="171">
        <f t="shared" si="102"/>
        <v>0</v>
      </c>
      <c r="JB17" s="171">
        <f t="shared" si="103"/>
        <v>0</v>
      </c>
      <c r="JE17" s="171">
        <f t="shared" si="104"/>
        <v>0</v>
      </c>
      <c r="JF17" s="171">
        <v>0</v>
      </c>
      <c r="JG17" s="171">
        <v>0</v>
      </c>
      <c r="JH17" s="171">
        <f t="shared" si="105"/>
        <v>0</v>
      </c>
      <c r="JI17" s="171">
        <v>0</v>
      </c>
      <c r="JJ17" s="171">
        <v>0</v>
      </c>
      <c r="JK17" s="171">
        <f t="shared" si="106"/>
        <v>0</v>
      </c>
      <c r="JL17" s="171">
        <v>0</v>
      </c>
      <c r="JM17" s="171">
        <v>0</v>
      </c>
      <c r="JN17" s="171">
        <f t="shared" si="107"/>
        <v>0</v>
      </c>
      <c r="JO17" s="171">
        <v>0</v>
      </c>
      <c r="JP17" s="171">
        <v>0</v>
      </c>
      <c r="JQ17" s="171">
        <f t="shared" si="108"/>
        <v>0</v>
      </c>
      <c r="JR17" s="171">
        <v>0</v>
      </c>
      <c r="JS17" s="171">
        <v>0</v>
      </c>
      <c r="JT17" s="171">
        <f t="shared" si="109"/>
        <v>0</v>
      </c>
      <c r="JU17" s="171">
        <v>0</v>
      </c>
      <c r="JV17" s="171">
        <v>0</v>
      </c>
      <c r="JW17" s="171">
        <f t="shared" si="110"/>
        <v>0</v>
      </c>
      <c r="JX17" s="171">
        <v>0</v>
      </c>
      <c r="JY17" s="171">
        <v>0</v>
      </c>
      <c r="JZ17" s="171">
        <f t="shared" si="111"/>
        <v>0</v>
      </c>
      <c r="KA17" s="171">
        <v>621.76108999999997</v>
      </c>
      <c r="KC17" s="171">
        <v>521.27486999999996</v>
      </c>
      <c r="KE17" s="171">
        <f t="shared" si="112"/>
        <v>-100.48622</v>
      </c>
      <c r="KF17" s="171">
        <f t="shared" si="113"/>
        <v>0</v>
      </c>
    </row>
    <row r="18" spans="1:293" s="171" customFormat="1" x14ac:dyDescent="0.25">
      <c r="A18" s="169" t="s">
        <v>162</v>
      </c>
      <c r="B18" s="170">
        <v>0</v>
      </c>
      <c r="C18" s="170">
        <v>1182672.80522</v>
      </c>
      <c r="D18" s="170">
        <v>49662.915800000002</v>
      </c>
      <c r="E18" s="170">
        <v>53037.345849999998</v>
      </c>
      <c r="F18" s="171">
        <f t="shared" si="19"/>
        <v>1285373.06687</v>
      </c>
      <c r="G18" s="170">
        <v>0</v>
      </c>
      <c r="H18" s="170">
        <v>899652.14229999995</v>
      </c>
      <c r="I18" s="170">
        <v>49242.663829999998</v>
      </c>
      <c r="J18" s="170">
        <v>56329.895120000001</v>
      </c>
      <c r="K18" s="171">
        <f t="shared" si="20"/>
        <v>1005224.7012499999</v>
      </c>
      <c r="L18" s="170">
        <v>68411.153699999995</v>
      </c>
      <c r="M18" s="170">
        <v>82.2</v>
      </c>
      <c r="N18" s="170">
        <v>4945.12</v>
      </c>
      <c r="O18" s="171">
        <f t="shared" si="21"/>
        <v>73438.473699999988</v>
      </c>
      <c r="P18" s="170">
        <v>67370.982770000002</v>
      </c>
      <c r="Q18" s="170">
        <v>82.2</v>
      </c>
      <c r="R18" s="170">
        <v>4945.12</v>
      </c>
      <c r="S18" s="171">
        <f t="shared" si="22"/>
        <v>72398.302769999995</v>
      </c>
      <c r="T18" s="170">
        <v>0</v>
      </c>
      <c r="U18" s="170">
        <v>1209473.7801399999</v>
      </c>
      <c r="V18" s="170">
        <v>56766.130579999997</v>
      </c>
      <c r="W18" s="170">
        <v>56577.113799999999</v>
      </c>
      <c r="X18" s="171">
        <f t="shared" si="23"/>
        <v>1322817.02452</v>
      </c>
      <c r="Y18" s="170">
        <v>0</v>
      </c>
      <c r="Z18" s="170">
        <v>882547.66157999996</v>
      </c>
      <c r="AA18" s="170">
        <v>51230.614999999998</v>
      </c>
      <c r="AB18" s="170">
        <v>53931.139690000004</v>
      </c>
      <c r="AC18" s="171">
        <f t="shared" si="24"/>
        <v>987709.41626999993</v>
      </c>
      <c r="AD18" s="171">
        <f t="shared" si="25"/>
        <v>1211934.59317</v>
      </c>
      <c r="AE18" s="171">
        <f t="shared" si="0"/>
        <v>932826.39847999997</v>
      </c>
      <c r="AF18" s="171">
        <f t="shared" si="26"/>
        <v>76.970028229002864</v>
      </c>
      <c r="AG18" s="172">
        <v>1212411</v>
      </c>
      <c r="AH18" s="172">
        <f t="shared" si="27"/>
        <v>476.40682999999262</v>
      </c>
      <c r="AI18" s="172">
        <v>932826</v>
      </c>
      <c r="AJ18" s="172">
        <f t="shared" si="28"/>
        <v>-0.39847999997437</v>
      </c>
      <c r="AK18" s="171">
        <f t="shared" si="1"/>
        <v>1249378.55082</v>
      </c>
      <c r="AL18" s="171">
        <f t="shared" si="2"/>
        <v>915311.11349999998</v>
      </c>
      <c r="AM18" s="171">
        <f t="shared" si="29"/>
        <v>73.261311625628366</v>
      </c>
      <c r="AN18" s="173">
        <v>0</v>
      </c>
      <c r="AO18" s="173">
        <v>-25800.974920000001</v>
      </c>
      <c r="AP18" s="173">
        <v>-6626.9827800000003</v>
      </c>
      <c r="AQ18" s="173">
        <v>-3539.7679499999999</v>
      </c>
      <c r="AR18" s="171">
        <f t="shared" si="30"/>
        <v>-35967.72565</v>
      </c>
      <c r="AS18" s="173">
        <v>0</v>
      </c>
      <c r="AT18" s="173">
        <v>17104.48072</v>
      </c>
      <c r="AU18" s="173">
        <v>-1987.95117</v>
      </c>
      <c r="AV18" s="173">
        <v>2398.7554300000002</v>
      </c>
      <c r="AW18" s="171">
        <f t="shared" si="31"/>
        <v>17515.28498</v>
      </c>
      <c r="AX18" s="170">
        <v>0</v>
      </c>
      <c r="AY18" s="170">
        <v>1029595.79805</v>
      </c>
      <c r="AZ18" s="170">
        <v>26701.381109999998</v>
      </c>
      <c r="BA18" s="170">
        <v>41233.540589999997</v>
      </c>
      <c r="BB18" s="312">
        <f t="shared" si="32"/>
        <v>476.23200000000361</v>
      </c>
      <c r="BC18" s="171">
        <f t="shared" si="33"/>
        <v>1097530.7197500002</v>
      </c>
      <c r="BD18" s="170">
        <v>0</v>
      </c>
      <c r="BE18" s="170">
        <v>735785.34152000002</v>
      </c>
      <c r="BF18" s="170">
        <v>26197.442179999998</v>
      </c>
      <c r="BG18" s="170">
        <v>41173.540589999997</v>
      </c>
      <c r="BH18" s="312">
        <f t="shared" si="3"/>
        <v>0</v>
      </c>
      <c r="BI18" s="171">
        <f t="shared" si="34"/>
        <v>803156.32429000002</v>
      </c>
      <c r="BJ18" s="171">
        <f t="shared" si="4"/>
        <v>1024092.2460500002</v>
      </c>
      <c r="BK18" s="171">
        <f t="shared" si="5"/>
        <v>730758.02152000007</v>
      </c>
      <c r="BL18" s="171">
        <f t="shared" si="35"/>
        <v>71.356659943338897</v>
      </c>
      <c r="BM18" s="170">
        <v>0</v>
      </c>
      <c r="BN18" s="170">
        <v>159339.755</v>
      </c>
      <c r="BO18" s="170">
        <v>24763.703689999998</v>
      </c>
      <c r="BP18" s="170">
        <v>11783.805259999999</v>
      </c>
      <c r="BQ18" s="171">
        <f t="shared" si="36"/>
        <v>195887.26394999999</v>
      </c>
      <c r="BR18" s="171">
        <f t="shared" si="6"/>
        <v>195887.26394999999</v>
      </c>
      <c r="BS18" s="170">
        <v>0</v>
      </c>
      <c r="BT18" s="170">
        <v>170129.54861</v>
      </c>
      <c r="BU18" s="170">
        <v>24777.304550000001</v>
      </c>
      <c r="BV18" s="170">
        <v>15156.354530000001</v>
      </c>
      <c r="BW18" s="171">
        <f t="shared" si="37"/>
        <v>210063.20769000001</v>
      </c>
      <c r="BX18" s="171">
        <f t="shared" si="7"/>
        <v>210063.20769000001</v>
      </c>
      <c r="BY18" s="171">
        <v>29823.744269999999</v>
      </c>
      <c r="BZ18" s="173">
        <v>24785.641</v>
      </c>
      <c r="CA18" s="171">
        <f t="shared" si="38"/>
        <v>24785.641</v>
      </c>
      <c r="CB18" s="173">
        <v>26799.626560000001</v>
      </c>
      <c r="CC18" s="171">
        <f t="shared" si="38"/>
        <v>26799.626560000001</v>
      </c>
      <c r="CD18" s="171">
        <f t="shared" si="8"/>
        <v>108.12561418121082</v>
      </c>
      <c r="CE18" s="171">
        <f t="shared" si="39"/>
        <v>-10.139966607217687</v>
      </c>
      <c r="CF18" s="173">
        <v>2199.2849999999999</v>
      </c>
      <c r="CG18" s="171">
        <f t="shared" si="40"/>
        <v>2199.2849999999999</v>
      </c>
      <c r="CH18" s="269">
        <v>2496.5876699999999</v>
      </c>
      <c r="CI18" s="171">
        <f t="shared" si="41"/>
        <v>2496.5876699999999</v>
      </c>
      <c r="CJ18" s="171">
        <f t="shared" si="9"/>
        <v>113.51815112638882</v>
      </c>
      <c r="CK18" s="173">
        <v>5323</v>
      </c>
      <c r="CL18" s="171">
        <f t="shared" si="42"/>
        <v>5323</v>
      </c>
      <c r="CM18" s="173">
        <v>12345.34138</v>
      </c>
      <c r="CN18" s="171">
        <f t="shared" si="43"/>
        <v>12345.34138</v>
      </c>
      <c r="CO18" s="173">
        <v>5527.8834800000004</v>
      </c>
      <c r="CP18" s="171">
        <f t="shared" si="44"/>
        <v>5527.8834800000004</v>
      </c>
      <c r="CQ18" s="171">
        <f t="shared" si="10"/>
        <v>103.84902273154238</v>
      </c>
      <c r="CR18" s="171">
        <f t="shared" si="45"/>
        <v>-6817.4578999999994</v>
      </c>
      <c r="CS18" s="171">
        <f t="shared" si="46"/>
        <v>-55.222919238544371</v>
      </c>
      <c r="CT18" s="171">
        <v>11333.42159</v>
      </c>
      <c r="CU18" s="173">
        <v>7760.3827099999999</v>
      </c>
      <c r="CV18" s="171">
        <f t="shared" si="47"/>
        <v>7760.3827099999999</v>
      </c>
      <c r="CW18" s="173">
        <v>6982.9873900000002</v>
      </c>
      <c r="CX18" s="171">
        <f t="shared" ref="CX18" si="122">(CW18)</f>
        <v>6982.9873900000002</v>
      </c>
      <c r="CY18" s="171">
        <f t="shared" si="11"/>
        <v>89.982513117577938</v>
      </c>
      <c r="CZ18" s="171">
        <f t="shared" si="49"/>
        <v>-38.385885193211102</v>
      </c>
      <c r="DA18" s="171">
        <v>39234.631359999999</v>
      </c>
      <c r="DB18" s="171">
        <v>3410.5237000000002</v>
      </c>
      <c r="DC18" s="173">
        <v>36749.916340000003</v>
      </c>
      <c r="DD18" s="171">
        <f t="shared" si="50"/>
        <v>36749.916340000003</v>
      </c>
      <c r="DE18" s="173">
        <v>2627</v>
      </c>
      <c r="DF18" s="171">
        <f t="shared" si="51"/>
        <v>2627</v>
      </c>
      <c r="DG18" s="171">
        <f t="shared" si="12"/>
        <v>-2484.715019999996</v>
      </c>
      <c r="DH18" s="171">
        <f t="shared" si="13"/>
        <v>-783.52370000000019</v>
      </c>
      <c r="DI18" s="171">
        <v>20000</v>
      </c>
      <c r="DJ18" s="171">
        <v>0</v>
      </c>
      <c r="DK18" s="171">
        <f t="shared" si="52"/>
        <v>-20000</v>
      </c>
      <c r="DL18" s="170">
        <v>0</v>
      </c>
      <c r="DM18" s="170">
        <v>1023333.05022</v>
      </c>
      <c r="DN18" s="170">
        <v>24899.21211</v>
      </c>
      <c r="DO18" s="170">
        <v>41253.540589999997</v>
      </c>
      <c r="DP18" s="171">
        <f t="shared" si="53"/>
        <v>1089485.8029199999</v>
      </c>
      <c r="DQ18" s="170">
        <v>0</v>
      </c>
      <c r="DR18" s="170">
        <v>729522.59369000001</v>
      </c>
      <c r="DS18" s="170">
        <v>24465.359280000001</v>
      </c>
      <c r="DT18" s="170">
        <v>41173.540589999997</v>
      </c>
      <c r="DU18" s="171">
        <f t="shared" si="54"/>
        <v>795161.49355999997</v>
      </c>
      <c r="DV18" s="174">
        <f t="shared" si="14"/>
        <v>1016047.32922</v>
      </c>
      <c r="DW18" s="174">
        <f t="shared" si="15"/>
        <v>722763.19079000002</v>
      </c>
      <c r="DX18" s="171">
        <f t="shared" si="55"/>
        <v>71.134795595088207</v>
      </c>
      <c r="DY18" s="170">
        <v>124419.995</v>
      </c>
      <c r="DZ18" s="171">
        <f t="shared" si="56"/>
        <v>124419.995</v>
      </c>
      <c r="EA18" s="171">
        <v>35</v>
      </c>
      <c r="EB18" s="171">
        <f t="shared" si="57"/>
        <v>355485.7</v>
      </c>
      <c r="EC18" s="171">
        <f t="shared" si="58"/>
        <v>124419.995</v>
      </c>
      <c r="ED18" s="171">
        <f t="shared" si="59"/>
        <v>0</v>
      </c>
      <c r="EE18" s="170">
        <v>136501.83413</v>
      </c>
      <c r="EF18" s="171">
        <f t="shared" si="60"/>
        <v>136501.83413</v>
      </c>
      <c r="EG18" s="171">
        <f t="shared" si="61"/>
        <v>390005.2403714286</v>
      </c>
      <c r="EH18" s="171">
        <f t="shared" si="62"/>
        <v>136501.83413</v>
      </c>
      <c r="EI18" s="171">
        <f t="shared" si="63"/>
        <v>0</v>
      </c>
      <c r="EJ18" s="173">
        <v>4711.9549299999999</v>
      </c>
      <c r="EK18" s="171">
        <f t="shared" si="64"/>
        <v>4711.9549299999999</v>
      </c>
      <c r="EL18" s="171">
        <v>4738</v>
      </c>
      <c r="EM18" s="171">
        <v>4749.1314400000001</v>
      </c>
      <c r="EN18" s="171">
        <f t="shared" si="16"/>
        <v>37.176510000000235</v>
      </c>
      <c r="EO18" s="171">
        <f t="shared" si="65"/>
        <v>0.78898271635209483</v>
      </c>
      <c r="EV18" s="173">
        <v>25097.586810000001</v>
      </c>
      <c r="EW18" s="171">
        <f t="shared" si="66"/>
        <v>25097.586810000001</v>
      </c>
      <c r="EX18" s="313">
        <v>20045.641</v>
      </c>
      <c r="EY18" s="171">
        <v>22054.595120000002</v>
      </c>
      <c r="EZ18" s="171">
        <f t="shared" si="17"/>
        <v>-3042.9916899999989</v>
      </c>
      <c r="FA18" s="171">
        <f t="shared" si="67"/>
        <v>-12.124638567989876</v>
      </c>
      <c r="FB18" s="173">
        <v>14.202529999999999</v>
      </c>
      <c r="FC18" s="171">
        <f t="shared" si="68"/>
        <v>14.202529999999999</v>
      </c>
      <c r="FD18" s="171">
        <v>2</v>
      </c>
      <c r="FE18" s="171">
        <v>-4.0999999999999996</v>
      </c>
      <c r="FF18" s="171">
        <f t="shared" si="69"/>
        <v>-18.302529999999997</v>
      </c>
      <c r="FG18" s="171">
        <f t="shared" si="70"/>
        <v>-128.86809603641041</v>
      </c>
      <c r="FH18" s="171">
        <v>9969.7847500000498</v>
      </c>
      <c r="FI18" s="171">
        <v>7473.4609600000003</v>
      </c>
      <c r="FJ18" s="171">
        <v>31789.861459999869</v>
      </c>
      <c r="FK18" s="171">
        <v>5985.26433</v>
      </c>
      <c r="FL18" s="171">
        <f t="shared" si="71"/>
        <v>21820.076709999819</v>
      </c>
      <c r="FM18" s="171">
        <f t="shared" si="72"/>
        <v>-1488.1966300000004</v>
      </c>
      <c r="FN18" s="171">
        <v>1176.28513</v>
      </c>
      <c r="FO18" s="171">
        <v>1138.7335800000001</v>
      </c>
      <c r="FP18" s="171">
        <v>1236.42887</v>
      </c>
      <c r="FQ18" s="171">
        <v>1000.5484</v>
      </c>
      <c r="FR18" s="171">
        <f t="shared" si="73"/>
        <v>60.14373999999998</v>
      </c>
      <c r="FS18" s="171">
        <f t="shared" si="74"/>
        <v>-138.18518000000006</v>
      </c>
      <c r="FT18" s="171">
        <v>5736.3756700000004</v>
      </c>
      <c r="FU18" s="171">
        <v>5345.9125700000004</v>
      </c>
      <c r="FV18" s="171">
        <v>4889.7902800000002</v>
      </c>
      <c r="FW18" s="171">
        <v>4500.3728099999998</v>
      </c>
      <c r="FX18" s="171">
        <f t="shared" si="75"/>
        <v>-846.58539000000019</v>
      </c>
      <c r="FY18" s="171">
        <f t="shared" si="76"/>
        <v>-845.53976000000057</v>
      </c>
      <c r="FZ18" s="171">
        <v>1.24885</v>
      </c>
      <c r="GA18" s="171">
        <v>1.0198700000000001</v>
      </c>
      <c r="GB18" s="171">
        <v>15.41736</v>
      </c>
      <c r="GC18" s="171">
        <v>11.44936</v>
      </c>
      <c r="GD18" s="171">
        <f t="shared" si="77"/>
        <v>14.168510000000001</v>
      </c>
      <c r="GE18" s="171">
        <f t="shared" si="78"/>
        <v>10.429490000000001</v>
      </c>
      <c r="GJ18" s="171">
        <f t="shared" si="79"/>
        <v>0</v>
      </c>
      <c r="GK18" s="171">
        <f t="shared" si="80"/>
        <v>0</v>
      </c>
      <c r="GL18" s="171">
        <v>0</v>
      </c>
      <c r="GM18" s="171">
        <v>0</v>
      </c>
      <c r="GN18" s="171">
        <v>0</v>
      </c>
      <c r="GO18" s="171">
        <v>0</v>
      </c>
      <c r="GP18" s="171">
        <f t="shared" si="81"/>
        <v>0</v>
      </c>
      <c r="GQ18" s="171">
        <f t="shared" si="82"/>
        <v>0</v>
      </c>
      <c r="GV18" s="171">
        <f t="shared" si="83"/>
        <v>0</v>
      </c>
      <c r="GW18" s="171">
        <f t="shared" si="84"/>
        <v>0</v>
      </c>
      <c r="HB18" s="171">
        <f t="shared" si="85"/>
        <v>0</v>
      </c>
      <c r="HC18" s="171">
        <f t="shared" si="86"/>
        <v>0</v>
      </c>
      <c r="HH18" s="171">
        <f t="shared" si="87"/>
        <v>0</v>
      </c>
      <c r="HI18" s="171">
        <f t="shared" si="88"/>
        <v>0</v>
      </c>
      <c r="HN18" s="171">
        <f t="shared" si="89"/>
        <v>0</v>
      </c>
      <c r="HO18" s="171">
        <f t="shared" si="90"/>
        <v>0</v>
      </c>
      <c r="HP18" s="171">
        <v>39.736899999999999</v>
      </c>
      <c r="HQ18" s="171">
        <v>15</v>
      </c>
      <c r="HR18" s="171">
        <v>34.736899999999999</v>
      </c>
      <c r="HS18" s="171">
        <v>20.939229999999998</v>
      </c>
      <c r="HT18" s="171">
        <f t="shared" si="91"/>
        <v>-5</v>
      </c>
      <c r="HU18" s="171">
        <f t="shared" si="92"/>
        <v>5.9392299999999985</v>
      </c>
      <c r="HV18" s="171">
        <v>1.0690999999999999</v>
      </c>
      <c r="HW18" s="171">
        <v>1.0690999999999999</v>
      </c>
      <c r="HX18" s="171">
        <v>0</v>
      </c>
      <c r="HY18" s="171">
        <v>0</v>
      </c>
      <c r="HZ18" s="171">
        <f t="shared" si="93"/>
        <v>-1.0690999999999999</v>
      </c>
      <c r="IA18" s="171">
        <f t="shared" si="94"/>
        <v>-1.0690999999999999</v>
      </c>
      <c r="IB18" s="171">
        <v>0</v>
      </c>
      <c r="IC18" s="171">
        <v>0</v>
      </c>
      <c r="ID18" s="171">
        <v>0</v>
      </c>
      <c r="IE18" s="171">
        <v>0</v>
      </c>
      <c r="IF18" s="171">
        <f t="shared" si="95"/>
        <v>0</v>
      </c>
      <c r="IG18" s="171">
        <f t="shared" si="96"/>
        <v>0</v>
      </c>
      <c r="IH18" s="171">
        <v>0</v>
      </c>
      <c r="II18" s="171">
        <v>0</v>
      </c>
      <c r="IJ18" s="171">
        <v>22909.276310000001</v>
      </c>
      <c r="IK18" s="171">
        <v>0</v>
      </c>
      <c r="IL18" s="171">
        <f t="shared" si="97"/>
        <v>22909.276310000001</v>
      </c>
      <c r="IM18" s="171">
        <f t="shared" si="98"/>
        <v>0</v>
      </c>
      <c r="IN18" s="171">
        <v>662</v>
      </c>
      <c r="IO18" s="171">
        <v>662</v>
      </c>
      <c r="IP18" s="171">
        <v>100</v>
      </c>
      <c r="IQ18" s="171">
        <v>100</v>
      </c>
      <c r="IR18" s="171">
        <f t="shared" si="99"/>
        <v>-562</v>
      </c>
      <c r="IS18" s="171">
        <f t="shared" si="100"/>
        <v>-562</v>
      </c>
      <c r="IT18" s="171">
        <v>12765.128489999999</v>
      </c>
      <c r="IU18" s="171">
        <v>2028.9958499999998</v>
      </c>
      <c r="IV18" s="171">
        <v>11241.437910000001</v>
      </c>
      <c r="IW18" s="171">
        <v>2095.9237899999998</v>
      </c>
      <c r="IX18" s="171">
        <f t="shared" si="101"/>
        <v>-1523.6905799999986</v>
      </c>
      <c r="IY18" s="171">
        <f t="shared" si="102"/>
        <v>66.927940000000035</v>
      </c>
      <c r="JB18" s="171">
        <f t="shared" si="103"/>
        <v>0</v>
      </c>
      <c r="JE18" s="171">
        <f t="shared" si="104"/>
        <v>0</v>
      </c>
      <c r="JF18" s="171">
        <v>1641.2698700000001</v>
      </c>
      <c r="JG18" s="171">
        <v>1475.4743800000001</v>
      </c>
      <c r="JH18" s="171">
        <f t="shared" si="105"/>
        <v>-165.79548999999997</v>
      </c>
      <c r="JI18" s="171">
        <v>0</v>
      </c>
      <c r="JJ18" s="171">
        <v>0</v>
      </c>
      <c r="JK18" s="171">
        <f t="shared" si="106"/>
        <v>0</v>
      </c>
      <c r="JL18" s="171">
        <v>0</v>
      </c>
      <c r="JM18" s="171">
        <v>0</v>
      </c>
      <c r="JN18" s="171">
        <f t="shared" si="107"/>
        <v>0</v>
      </c>
      <c r="JO18" s="171">
        <v>330.22597999999999</v>
      </c>
      <c r="JP18" s="171">
        <v>609.69940999999994</v>
      </c>
      <c r="JQ18" s="171">
        <f t="shared" si="108"/>
        <v>279.47342999999995</v>
      </c>
      <c r="JR18" s="171">
        <v>0</v>
      </c>
      <c r="JS18" s="171">
        <v>0</v>
      </c>
      <c r="JT18" s="171">
        <f t="shared" si="109"/>
        <v>0</v>
      </c>
      <c r="JU18" s="171">
        <v>7.5</v>
      </c>
      <c r="JV18" s="171">
        <v>7.5</v>
      </c>
      <c r="JW18" s="171">
        <f t="shared" si="110"/>
        <v>0</v>
      </c>
      <c r="JX18" s="171">
        <v>0</v>
      </c>
      <c r="JY18" s="171">
        <v>0</v>
      </c>
      <c r="JZ18" s="171">
        <f t="shared" si="111"/>
        <v>0</v>
      </c>
      <c r="KA18" s="171">
        <v>5725.4776300000003</v>
      </c>
      <c r="KC18" s="171">
        <v>2641.0968600000001</v>
      </c>
      <c r="KE18" s="171">
        <f t="shared" si="112"/>
        <v>-3084.3807700000002</v>
      </c>
      <c r="KF18" s="171">
        <f t="shared" si="113"/>
        <v>0</v>
      </c>
    </row>
    <row r="19" spans="1:293" s="171" customFormat="1" x14ac:dyDescent="0.25">
      <c r="A19" s="169" t="s">
        <v>163</v>
      </c>
      <c r="B19" s="170">
        <v>0</v>
      </c>
      <c r="C19" s="170">
        <v>1487289.42502</v>
      </c>
      <c r="D19" s="170">
        <v>248052.67225</v>
      </c>
      <c r="E19" s="170">
        <v>13414.847</v>
      </c>
      <c r="F19" s="171">
        <f t="shared" si="19"/>
        <v>1748756.9442700001</v>
      </c>
      <c r="G19" s="170">
        <v>0</v>
      </c>
      <c r="H19" s="170">
        <v>1466651.2648100001</v>
      </c>
      <c r="I19" s="170">
        <v>248537.77725000001</v>
      </c>
      <c r="J19" s="170">
        <v>13431.669519999999</v>
      </c>
      <c r="K19" s="171">
        <f t="shared" si="20"/>
        <v>1728620.7115800001</v>
      </c>
      <c r="L19" s="170">
        <v>173645.43139999997</v>
      </c>
      <c r="M19" s="170">
        <v>71987.324769999992</v>
      </c>
      <c r="N19" s="170">
        <v>131.9</v>
      </c>
      <c r="O19" s="171">
        <f t="shared" si="21"/>
        <v>245764.65616999994</v>
      </c>
      <c r="P19" s="170">
        <v>170983.98319999996</v>
      </c>
      <c r="Q19" s="170">
        <v>71616.267439999996</v>
      </c>
      <c r="R19" s="170">
        <v>131.9</v>
      </c>
      <c r="S19" s="171">
        <f t="shared" si="22"/>
        <v>242732.15063999995</v>
      </c>
      <c r="T19" s="170">
        <v>0</v>
      </c>
      <c r="U19" s="170">
        <v>1529548.5896399999</v>
      </c>
      <c r="V19" s="170">
        <v>263285.84201999998</v>
      </c>
      <c r="W19" s="170">
        <v>14029.847</v>
      </c>
      <c r="X19" s="171">
        <f t="shared" si="23"/>
        <v>1806864.2786599998</v>
      </c>
      <c r="Y19" s="170">
        <v>0</v>
      </c>
      <c r="Z19" s="170">
        <v>1489802.24138</v>
      </c>
      <c r="AA19" s="170">
        <v>245920.75711999999</v>
      </c>
      <c r="AB19" s="170">
        <v>13302.32747</v>
      </c>
      <c r="AC19" s="171">
        <f t="shared" si="24"/>
        <v>1749025.3259699999</v>
      </c>
      <c r="AD19" s="171">
        <f t="shared" si="25"/>
        <v>1502992.2881000002</v>
      </c>
      <c r="AE19" s="171">
        <f t="shared" si="0"/>
        <v>1485888.5609400002</v>
      </c>
      <c r="AF19" s="171">
        <f t="shared" si="26"/>
        <v>98.862021628758882</v>
      </c>
      <c r="AG19" s="172">
        <v>1502992</v>
      </c>
      <c r="AH19" s="172">
        <f t="shared" si="27"/>
        <v>-0.28810000023804605</v>
      </c>
      <c r="AI19" s="172">
        <v>1485889</v>
      </c>
      <c r="AJ19" s="172">
        <f t="shared" si="28"/>
        <v>0.43905999977141619</v>
      </c>
      <c r="AK19" s="171">
        <f t="shared" si="1"/>
        <v>1561099.62249</v>
      </c>
      <c r="AL19" s="171">
        <f t="shared" si="2"/>
        <v>1506293.17533</v>
      </c>
      <c r="AM19" s="171">
        <f t="shared" si="29"/>
        <v>96.489240893378593</v>
      </c>
      <c r="AN19" s="173">
        <v>0</v>
      </c>
      <c r="AO19" s="173">
        <v>-42488.664620000003</v>
      </c>
      <c r="AP19" s="173">
        <v>-15233.16977</v>
      </c>
      <c r="AQ19" s="173">
        <v>-615</v>
      </c>
      <c r="AR19" s="171">
        <f t="shared" si="30"/>
        <v>-58336.834390000004</v>
      </c>
      <c r="AS19" s="173">
        <v>0</v>
      </c>
      <c r="AT19" s="173">
        <v>-23150.976569999999</v>
      </c>
      <c r="AU19" s="173">
        <v>2617.0201299999999</v>
      </c>
      <c r="AV19" s="173">
        <v>129.34205</v>
      </c>
      <c r="AW19" s="171">
        <f t="shared" si="31"/>
        <v>-20404.614389999999</v>
      </c>
      <c r="AX19" s="170">
        <v>0</v>
      </c>
      <c r="AY19" s="170">
        <v>1307619.1250199999</v>
      </c>
      <c r="AZ19" s="170">
        <v>165130.58439999999</v>
      </c>
      <c r="BA19" s="170">
        <v>8514.8469999999998</v>
      </c>
      <c r="BB19" s="312">
        <f t="shared" si="32"/>
        <v>0</v>
      </c>
      <c r="BC19" s="171">
        <f t="shared" si="33"/>
        <v>1481264.55642</v>
      </c>
      <c r="BD19" s="170">
        <v>0</v>
      </c>
      <c r="BE19" s="170">
        <v>1289830.5197600001</v>
      </c>
      <c r="BF19" s="170">
        <v>162469.13620000001</v>
      </c>
      <c r="BG19" s="170">
        <v>8514.8469999999998</v>
      </c>
      <c r="BH19" s="312">
        <f t="shared" si="3"/>
        <v>0</v>
      </c>
      <c r="BI19" s="171">
        <f t="shared" si="34"/>
        <v>1460814.5029600002</v>
      </c>
      <c r="BJ19" s="171">
        <f t="shared" si="4"/>
        <v>1235499.9002500002</v>
      </c>
      <c r="BK19" s="171">
        <f t="shared" si="5"/>
        <v>1218082.3523200003</v>
      </c>
      <c r="BL19" s="171">
        <f t="shared" si="35"/>
        <v>98.590242870398001</v>
      </c>
      <c r="BM19" s="170">
        <v>0</v>
      </c>
      <c r="BN19" s="170">
        <v>176169.3</v>
      </c>
      <c r="BO19" s="170">
        <v>82054.899999999994</v>
      </c>
      <c r="BP19" s="170">
        <v>4900</v>
      </c>
      <c r="BQ19" s="171">
        <f t="shared" si="36"/>
        <v>263124.19999999995</v>
      </c>
      <c r="BR19" s="171">
        <f t="shared" si="6"/>
        <v>263124.19999999995</v>
      </c>
      <c r="BS19" s="170">
        <v>0</v>
      </c>
      <c r="BT19" s="170">
        <v>175418.24505</v>
      </c>
      <c r="BU19" s="170">
        <v>85555.748600000006</v>
      </c>
      <c r="BV19" s="170">
        <v>4916.8225199999997</v>
      </c>
      <c r="BW19" s="171">
        <f t="shared" si="37"/>
        <v>265890.81617000001</v>
      </c>
      <c r="BX19" s="171">
        <f t="shared" si="7"/>
        <v>265890.81617000001</v>
      </c>
      <c r="BY19" s="171">
        <v>22970.233069999998</v>
      </c>
      <c r="BZ19" s="173">
        <v>23032</v>
      </c>
      <c r="CA19" s="171">
        <f t="shared" si="38"/>
        <v>23032</v>
      </c>
      <c r="CB19" s="173">
        <v>17787.890319999999</v>
      </c>
      <c r="CC19" s="171">
        <f t="shared" si="38"/>
        <v>17787.890319999999</v>
      </c>
      <c r="CD19" s="171">
        <f t="shared" si="8"/>
        <v>77.231201458839877</v>
      </c>
      <c r="CE19" s="171">
        <f t="shared" si="39"/>
        <v>-22.561123930293661</v>
      </c>
      <c r="CF19" s="173">
        <v>1925</v>
      </c>
      <c r="CG19" s="171">
        <f t="shared" si="40"/>
        <v>1925</v>
      </c>
      <c r="CH19" s="269">
        <v>3164.57233</v>
      </c>
      <c r="CI19" s="171">
        <f t="shared" si="41"/>
        <v>3164.57233</v>
      </c>
      <c r="CJ19" s="171">
        <f t="shared" si="9"/>
        <v>164.39336779220778</v>
      </c>
      <c r="CK19" s="173">
        <v>22091</v>
      </c>
      <c r="CL19" s="171">
        <f t="shared" si="42"/>
        <v>22091</v>
      </c>
      <c r="CM19" s="173">
        <v>24435.194240000001</v>
      </c>
      <c r="CN19" s="171">
        <f t="shared" si="43"/>
        <v>24435.194240000001</v>
      </c>
      <c r="CO19" s="173">
        <v>22260.024389999999</v>
      </c>
      <c r="CP19" s="171">
        <f t="shared" si="44"/>
        <v>22260.024389999999</v>
      </c>
      <c r="CQ19" s="171">
        <f t="shared" si="10"/>
        <v>100.76512783486487</v>
      </c>
      <c r="CR19" s="171">
        <f t="shared" si="45"/>
        <v>-2175.169850000002</v>
      </c>
      <c r="CS19" s="171">
        <f t="shared" si="46"/>
        <v>-8.9017907066164668</v>
      </c>
      <c r="CT19" s="171">
        <v>25674.730599999999</v>
      </c>
      <c r="CU19" s="173">
        <v>20271.2</v>
      </c>
      <c r="CV19" s="171">
        <f t="shared" si="47"/>
        <v>20271.2</v>
      </c>
      <c r="CW19" s="173">
        <v>23554.784680000001</v>
      </c>
      <c r="CX19" s="171">
        <f t="shared" ref="CX19" si="123">(CW19)</f>
        <v>23554.784680000001</v>
      </c>
      <c r="CY19" s="171">
        <f t="shared" si="11"/>
        <v>116.19827479379612</v>
      </c>
      <c r="CZ19" s="171">
        <f t="shared" si="49"/>
        <v>-8.2569354009112601</v>
      </c>
      <c r="DA19" s="171">
        <v>54738.243779999997</v>
      </c>
      <c r="DB19" s="171">
        <v>3591.6831999999999</v>
      </c>
      <c r="DC19" s="173">
        <v>53933.629390000002</v>
      </c>
      <c r="DD19" s="171">
        <f t="shared" si="50"/>
        <v>53933.629390000002</v>
      </c>
      <c r="DE19" s="173">
        <v>96.060299999999998</v>
      </c>
      <c r="DF19" s="171">
        <f t="shared" si="51"/>
        <v>96.060299999999998</v>
      </c>
      <c r="DG19" s="171">
        <f t="shared" si="12"/>
        <v>-804.61438999999518</v>
      </c>
      <c r="DH19" s="171">
        <f t="shared" si="13"/>
        <v>-3495.6228999999998</v>
      </c>
      <c r="DI19" s="171">
        <v>81000</v>
      </c>
      <c r="DJ19" s="171">
        <v>100600</v>
      </c>
      <c r="DK19" s="171">
        <f t="shared" si="52"/>
        <v>19600</v>
      </c>
      <c r="DL19" s="170">
        <v>0</v>
      </c>
      <c r="DM19" s="170">
        <v>1311120.1250199999</v>
      </c>
      <c r="DN19" s="170">
        <v>165997.77225000001</v>
      </c>
      <c r="DO19" s="170">
        <v>8514.8469999999998</v>
      </c>
      <c r="DP19" s="171">
        <f t="shared" si="53"/>
        <v>1485632.7442699999</v>
      </c>
      <c r="DQ19" s="170">
        <v>0</v>
      </c>
      <c r="DR19" s="170">
        <v>1291233.0197600001</v>
      </c>
      <c r="DS19" s="170">
        <v>162982.02864999999</v>
      </c>
      <c r="DT19" s="170">
        <v>8514.8469999999998</v>
      </c>
      <c r="DU19" s="171">
        <f t="shared" si="54"/>
        <v>1462729.8954100001</v>
      </c>
      <c r="DV19" s="174">
        <f t="shared" si="14"/>
        <v>1239868.0881000001</v>
      </c>
      <c r="DW19" s="174">
        <f t="shared" si="15"/>
        <v>1219997.7447700002</v>
      </c>
      <c r="DX19" s="171">
        <f t="shared" si="55"/>
        <v>98.397382469900521</v>
      </c>
      <c r="DY19" s="170">
        <v>177338</v>
      </c>
      <c r="DZ19" s="171">
        <f t="shared" si="56"/>
        <v>177338</v>
      </c>
      <c r="EA19" s="171">
        <v>35</v>
      </c>
      <c r="EB19" s="171">
        <f t="shared" si="57"/>
        <v>506680</v>
      </c>
      <c r="EC19" s="171">
        <f t="shared" si="58"/>
        <v>177338</v>
      </c>
      <c r="ED19" s="171">
        <f t="shared" si="59"/>
        <v>0</v>
      </c>
      <c r="EE19" s="170">
        <v>178747.28704</v>
      </c>
      <c r="EF19" s="171">
        <f t="shared" si="60"/>
        <v>178747.28704</v>
      </c>
      <c r="EG19" s="171">
        <f t="shared" si="61"/>
        <v>510706.5344</v>
      </c>
      <c r="EH19" s="171">
        <f t="shared" si="62"/>
        <v>178747.28704</v>
      </c>
      <c r="EI19" s="171">
        <f t="shared" si="63"/>
        <v>0</v>
      </c>
      <c r="EJ19" s="173">
        <v>22798.661069999998</v>
      </c>
      <c r="EK19" s="171">
        <f t="shared" si="64"/>
        <v>22798.661069999998</v>
      </c>
      <c r="EL19" s="171">
        <v>22818</v>
      </c>
      <c r="EM19" s="171">
        <v>17509.74653</v>
      </c>
      <c r="EN19" s="171">
        <f t="shared" si="16"/>
        <v>-5288.9145399999979</v>
      </c>
      <c r="EO19" s="171">
        <f t="shared" si="65"/>
        <v>-23.198355919942614</v>
      </c>
      <c r="EV19" s="173">
        <v>81.465000000000003</v>
      </c>
      <c r="EW19" s="171">
        <f t="shared" si="66"/>
        <v>81.465000000000003</v>
      </c>
      <c r="EX19" s="313">
        <v>75</v>
      </c>
      <c r="EY19" s="171">
        <v>258.52415000000002</v>
      </c>
      <c r="EZ19" s="171">
        <f t="shared" si="17"/>
        <v>177.05915000000002</v>
      </c>
      <c r="FA19" s="171">
        <f t="shared" si="67"/>
        <v>217.34382863806547</v>
      </c>
      <c r="FB19" s="173">
        <v>90.106999999999999</v>
      </c>
      <c r="FC19" s="171">
        <f t="shared" si="68"/>
        <v>90.106999999999999</v>
      </c>
      <c r="FD19" s="171">
        <v>139</v>
      </c>
      <c r="FE19" s="171">
        <v>19.61964</v>
      </c>
      <c r="FF19" s="171">
        <f t="shared" si="69"/>
        <v>-70.487359999999995</v>
      </c>
      <c r="FG19" s="171">
        <f t="shared" si="70"/>
        <v>-78.226286526019067</v>
      </c>
      <c r="FH19" s="171">
        <v>64102.290769999963</v>
      </c>
      <c r="FI19" s="171">
        <v>60110.872230000001</v>
      </c>
      <c r="FJ19" s="171">
        <v>260910.31439000013</v>
      </c>
      <c r="FK19" s="171">
        <v>65050.940490000001</v>
      </c>
      <c r="FL19" s="171">
        <f t="shared" si="71"/>
        <v>196808.02362000017</v>
      </c>
      <c r="FM19" s="171">
        <f t="shared" si="72"/>
        <v>4940.06826</v>
      </c>
      <c r="FN19" s="171">
        <v>5250.7530800000004</v>
      </c>
      <c r="FO19" s="171">
        <v>5250.7530800000004</v>
      </c>
      <c r="FP19" s="171">
        <v>4717.1917400000002</v>
      </c>
      <c r="FQ19" s="171">
        <v>4312.6528699999999</v>
      </c>
      <c r="FR19" s="171">
        <f t="shared" si="73"/>
        <v>-533.5613400000002</v>
      </c>
      <c r="FS19" s="171">
        <f t="shared" si="74"/>
        <v>-938.10021000000052</v>
      </c>
      <c r="FT19" s="171">
        <v>39048.315309999998</v>
      </c>
      <c r="FU19" s="171">
        <v>38523.990680000003</v>
      </c>
      <c r="FV19" s="171">
        <v>40625.904009999998</v>
      </c>
      <c r="FW19" s="171">
        <v>39364.35785</v>
      </c>
      <c r="FX19" s="171">
        <f t="shared" si="75"/>
        <v>1577.5887000000002</v>
      </c>
      <c r="FY19" s="171">
        <f t="shared" si="76"/>
        <v>840.36716999999771</v>
      </c>
      <c r="FZ19" s="171">
        <v>3723.4868999999999</v>
      </c>
      <c r="GA19" s="171">
        <v>3723.4868999999999</v>
      </c>
      <c r="GB19" s="171">
        <v>7654.15643</v>
      </c>
      <c r="GC19" s="171">
        <v>7654.15643</v>
      </c>
      <c r="GD19" s="171">
        <f t="shared" si="77"/>
        <v>3930.6695300000001</v>
      </c>
      <c r="GE19" s="171">
        <f t="shared" si="78"/>
        <v>3930.6695300000001</v>
      </c>
      <c r="GJ19" s="171">
        <f t="shared" si="79"/>
        <v>0</v>
      </c>
      <c r="GK19" s="171">
        <f t="shared" si="80"/>
        <v>0</v>
      </c>
      <c r="GL19" s="171">
        <v>13602.30236</v>
      </c>
      <c r="GM19" s="171">
        <v>12596.548559999999</v>
      </c>
      <c r="GN19" s="171">
        <v>14326.69591</v>
      </c>
      <c r="GO19" s="171">
        <v>13655.469220000001</v>
      </c>
      <c r="GP19" s="171">
        <f t="shared" si="81"/>
        <v>724.39355000000069</v>
      </c>
      <c r="GQ19" s="171">
        <f t="shared" si="82"/>
        <v>1058.9206600000016</v>
      </c>
      <c r="GV19" s="171">
        <f t="shared" si="83"/>
        <v>0</v>
      </c>
      <c r="GW19" s="171">
        <f t="shared" si="84"/>
        <v>0</v>
      </c>
      <c r="HB19" s="171">
        <f t="shared" si="85"/>
        <v>0</v>
      </c>
      <c r="HC19" s="171">
        <f t="shared" si="86"/>
        <v>0</v>
      </c>
      <c r="HH19" s="171">
        <f t="shared" si="87"/>
        <v>0</v>
      </c>
      <c r="HI19" s="171">
        <f t="shared" si="88"/>
        <v>0</v>
      </c>
      <c r="HN19" s="171">
        <f t="shared" si="89"/>
        <v>0</v>
      </c>
      <c r="HO19" s="171">
        <f t="shared" si="90"/>
        <v>0</v>
      </c>
      <c r="HP19" s="171">
        <v>1501.42383</v>
      </c>
      <c r="HQ19" s="171">
        <v>15.5</v>
      </c>
      <c r="HR19" s="171">
        <v>1174.0380399999999</v>
      </c>
      <c r="HS19" s="171">
        <v>52</v>
      </c>
      <c r="HT19" s="171">
        <f t="shared" si="91"/>
        <v>-327.38579000000004</v>
      </c>
      <c r="HU19" s="171">
        <f t="shared" si="92"/>
        <v>36.5</v>
      </c>
      <c r="HV19" s="171">
        <v>0</v>
      </c>
      <c r="HW19" s="171">
        <v>0</v>
      </c>
      <c r="HX19" s="171">
        <v>0</v>
      </c>
      <c r="HY19" s="171">
        <v>0</v>
      </c>
      <c r="HZ19" s="171">
        <f t="shared" si="93"/>
        <v>0</v>
      </c>
      <c r="IA19" s="171">
        <f t="shared" si="94"/>
        <v>0</v>
      </c>
      <c r="IB19" s="171">
        <v>0</v>
      </c>
      <c r="IC19" s="171">
        <v>0</v>
      </c>
      <c r="ID19" s="171">
        <v>26.586110000000001</v>
      </c>
      <c r="IE19" s="171">
        <v>11.71111</v>
      </c>
      <c r="IF19" s="171">
        <f t="shared" si="95"/>
        <v>26.586110000000001</v>
      </c>
      <c r="IG19" s="171">
        <f t="shared" si="96"/>
        <v>11.71111</v>
      </c>
      <c r="IH19" s="171">
        <v>9.0193499999999993</v>
      </c>
      <c r="II19" s="171">
        <v>0</v>
      </c>
      <c r="IJ19" s="171">
        <v>190415.36895</v>
      </c>
      <c r="IK19" s="171">
        <v>0</v>
      </c>
      <c r="IL19" s="171">
        <f t="shared" si="97"/>
        <v>190406.34960000002</v>
      </c>
      <c r="IM19" s="171">
        <f t="shared" si="98"/>
        <v>0</v>
      </c>
      <c r="IN19" s="171">
        <v>0</v>
      </c>
      <c r="IO19" s="171">
        <v>0</v>
      </c>
      <c r="IP19" s="171">
        <v>0</v>
      </c>
      <c r="IQ19" s="171">
        <v>0</v>
      </c>
      <c r="IR19" s="171">
        <f t="shared" si="99"/>
        <v>0</v>
      </c>
      <c r="IS19" s="171">
        <f t="shared" si="100"/>
        <v>0</v>
      </c>
      <c r="IT19" s="171">
        <v>11486.51326</v>
      </c>
      <c r="IU19" s="171">
        <v>1002.79221</v>
      </c>
      <c r="IV19" s="171">
        <v>10743.767959999999</v>
      </c>
      <c r="IW19" s="171">
        <v>0</v>
      </c>
      <c r="IX19" s="171">
        <f t="shared" si="101"/>
        <v>-742.7453000000005</v>
      </c>
      <c r="IY19" s="171">
        <f t="shared" si="102"/>
        <v>-1002.79221</v>
      </c>
      <c r="JB19" s="171">
        <f t="shared" si="103"/>
        <v>0</v>
      </c>
      <c r="JE19" s="171">
        <f t="shared" si="104"/>
        <v>0</v>
      </c>
      <c r="JF19" s="171">
        <v>1002.79221</v>
      </c>
      <c r="JG19" s="171">
        <v>0</v>
      </c>
      <c r="JH19" s="171">
        <f t="shared" si="105"/>
        <v>-1002.79221</v>
      </c>
      <c r="JI19" s="171">
        <v>0</v>
      </c>
      <c r="JJ19" s="171">
        <v>0</v>
      </c>
      <c r="JK19" s="171">
        <f t="shared" si="106"/>
        <v>0</v>
      </c>
      <c r="JL19" s="171">
        <v>0</v>
      </c>
      <c r="JM19" s="171">
        <v>0</v>
      </c>
      <c r="JN19" s="171">
        <f t="shared" si="107"/>
        <v>0</v>
      </c>
      <c r="JO19" s="171">
        <v>0</v>
      </c>
      <c r="JP19" s="171">
        <v>0</v>
      </c>
      <c r="JQ19" s="171">
        <f t="shared" si="108"/>
        <v>0</v>
      </c>
      <c r="JR19" s="171">
        <v>0</v>
      </c>
      <c r="JS19" s="171">
        <v>0</v>
      </c>
      <c r="JT19" s="171">
        <f t="shared" si="109"/>
        <v>0</v>
      </c>
      <c r="JU19" s="171">
        <v>0</v>
      </c>
      <c r="JV19" s="171">
        <v>0</v>
      </c>
      <c r="JW19" s="171">
        <f t="shared" si="110"/>
        <v>0</v>
      </c>
      <c r="JX19" s="171">
        <v>0</v>
      </c>
      <c r="JY19" s="171">
        <v>0</v>
      </c>
      <c r="JZ19" s="171">
        <f t="shared" si="111"/>
        <v>0</v>
      </c>
      <c r="KA19" s="171">
        <v>8154.6099000000004</v>
      </c>
      <c r="KC19" s="171">
        <v>7127.00936</v>
      </c>
      <c r="KE19" s="171">
        <f t="shared" si="112"/>
        <v>-1027.6005400000004</v>
      </c>
      <c r="KF19" s="171">
        <f t="shared" si="113"/>
        <v>0</v>
      </c>
    </row>
    <row r="20" spans="1:293" s="171" customFormat="1" x14ac:dyDescent="0.25">
      <c r="A20" s="169" t="s">
        <v>164</v>
      </c>
      <c r="B20" s="170">
        <v>0</v>
      </c>
      <c r="C20" s="170">
        <v>1136230.58081</v>
      </c>
      <c r="D20" s="170">
        <v>170230.93088999999</v>
      </c>
      <c r="E20" s="170">
        <v>55275.880190000003</v>
      </c>
      <c r="F20" s="171">
        <f t="shared" si="19"/>
        <v>1361737.3918899999</v>
      </c>
      <c r="G20" s="170">
        <v>0</v>
      </c>
      <c r="H20" s="170">
        <v>1033968.3918700001</v>
      </c>
      <c r="I20" s="170">
        <v>160694.57316999999</v>
      </c>
      <c r="J20" s="170">
        <v>55130.665159999997</v>
      </c>
      <c r="K20" s="171">
        <f t="shared" si="20"/>
        <v>1249793.6302000002</v>
      </c>
      <c r="L20" s="170">
        <v>152482.83405</v>
      </c>
      <c r="M20" s="170">
        <v>7088.6495699999996</v>
      </c>
      <c r="N20" s="170">
        <v>6.95174</v>
      </c>
      <c r="O20" s="171">
        <f t="shared" si="21"/>
        <v>159578.43536</v>
      </c>
      <c r="P20" s="170">
        <v>147869.29784000001</v>
      </c>
      <c r="Q20" s="170">
        <v>7088.6495699999996</v>
      </c>
      <c r="R20" s="170">
        <v>6.95174</v>
      </c>
      <c r="S20" s="171">
        <f t="shared" si="22"/>
        <v>154964.89915000001</v>
      </c>
      <c r="T20" s="170">
        <v>0</v>
      </c>
      <c r="U20" s="170">
        <v>1170218.38393</v>
      </c>
      <c r="V20" s="170">
        <v>178886.62461999999</v>
      </c>
      <c r="W20" s="170">
        <v>56067.027990000002</v>
      </c>
      <c r="X20" s="171">
        <f t="shared" si="23"/>
        <v>1405172.03654</v>
      </c>
      <c r="Y20" s="170">
        <v>0</v>
      </c>
      <c r="Z20" s="170">
        <v>1034440.5311200001</v>
      </c>
      <c r="AA20" s="170">
        <v>167236.2052</v>
      </c>
      <c r="AB20" s="170">
        <v>54929.413659999998</v>
      </c>
      <c r="AC20" s="171">
        <f t="shared" si="24"/>
        <v>1256606.1499800002</v>
      </c>
      <c r="AD20" s="171">
        <f t="shared" si="25"/>
        <v>1202158.9565299999</v>
      </c>
      <c r="AE20" s="171">
        <f t="shared" si="0"/>
        <v>1094828.7310500003</v>
      </c>
      <c r="AF20" s="171">
        <f t="shared" si="26"/>
        <v>91.071877400489072</v>
      </c>
      <c r="AG20" s="172">
        <v>1202327</v>
      </c>
      <c r="AH20" s="172">
        <f t="shared" si="27"/>
        <v>168.04347000014968</v>
      </c>
      <c r="AI20" s="172">
        <v>1094829</v>
      </c>
      <c r="AJ20" s="172">
        <f t="shared" si="28"/>
        <v>0.26894999970681965</v>
      </c>
      <c r="AK20" s="171">
        <f t="shared" si="1"/>
        <v>1245593.60118</v>
      </c>
      <c r="AL20" s="171">
        <f t="shared" si="2"/>
        <v>1101641.2508300003</v>
      </c>
      <c r="AM20" s="171">
        <f t="shared" si="29"/>
        <v>88.443072426381448</v>
      </c>
      <c r="AN20" s="173">
        <v>0</v>
      </c>
      <c r="AO20" s="173">
        <v>-28830.38334</v>
      </c>
      <c r="AP20" s="173">
        <v>-8487.9527300000009</v>
      </c>
      <c r="AQ20" s="173">
        <v>-791.14779999999996</v>
      </c>
      <c r="AR20" s="171">
        <f t="shared" si="30"/>
        <v>-38109.483870000004</v>
      </c>
      <c r="AS20" s="173">
        <v>0</v>
      </c>
      <c r="AT20" s="173">
        <v>-472.13925</v>
      </c>
      <c r="AU20" s="173">
        <v>-6541.6320299999998</v>
      </c>
      <c r="AV20" s="173">
        <v>201.25149999999999</v>
      </c>
      <c r="AW20" s="171">
        <f t="shared" si="31"/>
        <v>-6812.5197799999996</v>
      </c>
      <c r="AX20" s="170">
        <v>0</v>
      </c>
      <c r="AY20" s="170">
        <v>966111.95434000005</v>
      </c>
      <c r="AZ20" s="170">
        <v>103578.93457</v>
      </c>
      <c r="BA20" s="170">
        <v>48736.158479999998</v>
      </c>
      <c r="BB20" s="312">
        <f t="shared" si="32"/>
        <v>167.74100000000908</v>
      </c>
      <c r="BC20" s="171">
        <f t="shared" si="33"/>
        <v>1118427.04739</v>
      </c>
      <c r="BD20" s="170">
        <v>0</v>
      </c>
      <c r="BE20" s="170">
        <v>849504.24872000003</v>
      </c>
      <c r="BF20" s="170">
        <v>99133.139360000001</v>
      </c>
      <c r="BG20" s="170">
        <v>48736.158479999998</v>
      </c>
      <c r="BH20" s="312">
        <f t="shared" si="3"/>
        <v>0</v>
      </c>
      <c r="BI20" s="171">
        <f t="shared" si="34"/>
        <v>997373.54656000005</v>
      </c>
      <c r="BJ20" s="171">
        <f t="shared" si="4"/>
        <v>958848.61202999996</v>
      </c>
      <c r="BK20" s="171">
        <f t="shared" si="5"/>
        <v>842408.64740999998</v>
      </c>
      <c r="BL20" s="171">
        <f t="shared" si="35"/>
        <v>87.8562722875009</v>
      </c>
      <c r="BM20" s="170">
        <v>0</v>
      </c>
      <c r="BN20" s="170">
        <v>173145.07412999999</v>
      </c>
      <c r="BO20" s="170">
        <v>66352.839439999996</v>
      </c>
      <c r="BP20" s="170">
        <v>6190.91543</v>
      </c>
      <c r="BQ20" s="171">
        <f t="shared" si="36"/>
        <v>245688.82899999997</v>
      </c>
      <c r="BR20" s="171">
        <f t="shared" si="6"/>
        <v>245688.82899999997</v>
      </c>
      <c r="BS20" s="170">
        <v>0</v>
      </c>
      <c r="BT20" s="170">
        <v>166824.82944</v>
      </c>
      <c r="BU20" s="170">
        <v>61279.293890000001</v>
      </c>
      <c r="BV20" s="170">
        <v>6045.7003999999997</v>
      </c>
      <c r="BW20" s="171">
        <f t="shared" si="37"/>
        <v>234149.82373</v>
      </c>
      <c r="BX20" s="171">
        <f t="shared" si="7"/>
        <v>234149.82373</v>
      </c>
      <c r="BY20" s="171">
        <v>25285.643840000001</v>
      </c>
      <c r="BZ20" s="173">
        <v>16091</v>
      </c>
      <c r="CA20" s="171">
        <f t="shared" si="38"/>
        <v>16091</v>
      </c>
      <c r="CB20" s="173">
        <v>14987.12018</v>
      </c>
      <c r="CC20" s="171">
        <f t="shared" si="38"/>
        <v>14987.12018</v>
      </c>
      <c r="CD20" s="171">
        <f t="shared" si="8"/>
        <v>93.139768690572367</v>
      </c>
      <c r="CE20" s="171">
        <f t="shared" si="39"/>
        <v>-40.72873811387197</v>
      </c>
      <c r="CF20" s="173">
        <v>6271.65888</v>
      </c>
      <c r="CG20" s="171">
        <f t="shared" si="40"/>
        <v>6271.65888</v>
      </c>
      <c r="CH20" s="269">
        <v>1593.9386099999999</v>
      </c>
      <c r="CI20" s="171">
        <f t="shared" si="41"/>
        <v>1593.9386099999999</v>
      </c>
      <c r="CJ20" s="171">
        <f t="shared" si="9"/>
        <v>25.414944283449294</v>
      </c>
      <c r="CK20" s="173">
        <v>13682.4</v>
      </c>
      <c r="CL20" s="171">
        <f t="shared" si="42"/>
        <v>13682.4</v>
      </c>
      <c r="CM20" s="173">
        <v>15027.62917</v>
      </c>
      <c r="CN20" s="171">
        <f t="shared" si="43"/>
        <v>15027.62917</v>
      </c>
      <c r="CO20" s="173">
        <v>13091.59744</v>
      </c>
      <c r="CP20" s="171">
        <f t="shared" si="44"/>
        <v>13091.59744</v>
      </c>
      <c r="CQ20" s="171">
        <f t="shared" si="10"/>
        <v>95.682025375665091</v>
      </c>
      <c r="CR20" s="171">
        <f t="shared" si="45"/>
        <v>-1936.0317300000006</v>
      </c>
      <c r="CS20" s="171">
        <f t="shared" si="46"/>
        <v>-12.883148153967923</v>
      </c>
      <c r="CT20" s="171">
        <v>26338.696120000001</v>
      </c>
      <c r="CU20" s="173">
        <v>24587.65886</v>
      </c>
      <c r="CV20" s="171">
        <f t="shared" si="47"/>
        <v>24587.65886</v>
      </c>
      <c r="CW20" s="173">
        <v>22729.88567</v>
      </c>
      <c r="CX20" s="171">
        <f t="shared" ref="CX20" si="124">(CW20)</f>
        <v>22729.88567</v>
      </c>
      <c r="CY20" s="171">
        <f t="shared" si="11"/>
        <v>92.444285970543191</v>
      </c>
      <c r="CZ20" s="171">
        <f t="shared" si="49"/>
        <v>-13.701553157977671</v>
      </c>
      <c r="DA20" s="171">
        <v>16287.48387</v>
      </c>
      <c r="DB20" s="171">
        <v>8064.8383999999996</v>
      </c>
      <c r="DC20" s="173">
        <v>30896.964090000001</v>
      </c>
      <c r="DD20" s="171">
        <f t="shared" si="50"/>
        <v>30896.964090000001</v>
      </c>
      <c r="DE20" s="173">
        <v>20572.253809999998</v>
      </c>
      <c r="DF20" s="171">
        <f t="shared" si="51"/>
        <v>20572.253809999998</v>
      </c>
      <c r="DG20" s="171">
        <f t="shared" si="12"/>
        <v>14609.480220000001</v>
      </c>
      <c r="DH20" s="171">
        <f t="shared" si="13"/>
        <v>12507.415409999998</v>
      </c>
      <c r="DI20" s="171">
        <v>42794</v>
      </c>
      <c r="DJ20" s="171">
        <v>64216</v>
      </c>
      <c r="DK20" s="171">
        <f t="shared" si="52"/>
        <v>21422</v>
      </c>
      <c r="DL20" s="170">
        <v>0</v>
      </c>
      <c r="DM20" s="170">
        <v>963085.50667999999</v>
      </c>
      <c r="DN20" s="170">
        <v>103878.09145000001</v>
      </c>
      <c r="DO20" s="170">
        <v>49084.964760000003</v>
      </c>
      <c r="DP20" s="171">
        <f t="shared" si="53"/>
        <v>1116048.5628900002</v>
      </c>
      <c r="DQ20" s="170">
        <v>0</v>
      </c>
      <c r="DR20" s="170">
        <v>867143.56243000005</v>
      </c>
      <c r="DS20" s="170">
        <v>99415.279280000002</v>
      </c>
      <c r="DT20" s="170">
        <v>49084.964760000003</v>
      </c>
      <c r="DU20" s="171">
        <f t="shared" si="54"/>
        <v>1015643.8064700001</v>
      </c>
      <c r="DV20" s="174">
        <f t="shared" si="14"/>
        <v>956470.12753000017</v>
      </c>
      <c r="DW20" s="174">
        <f t="shared" si="15"/>
        <v>860678.90732</v>
      </c>
      <c r="DX20" s="171">
        <f t="shared" si="55"/>
        <v>89.984922952338039</v>
      </c>
      <c r="DY20" s="170">
        <v>156105.79999999999</v>
      </c>
      <c r="DZ20" s="171">
        <f t="shared" si="56"/>
        <v>156105.79999999999</v>
      </c>
      <c r="EA20" s="171">
        <v>35</v>
      </c>
      <c r="EB20" s="171">
        <f t="shared" si="57"/>
        <v>446016.57142857136</v>
      </c>
      <c r="EC20" s="171">
        <f t="shared" si="58"/>
        <v>156105.79999999996</v>
      </c>
      <c r="ED20" s="171">
        <f t="shared" si="59"/>
        <v>0</v>
      </c>
      <c r="EE20" s="170">
        <v>156062.82157999999</v>
      </c>
      <c r="EF20" s="171">
        <f t="shared" si="60"/>
        <v>156062.82157999999</v>
      </c>
      <c r="EG20" s="171">
        <f t="shared" si="61"/>
        <v>445893.77594285714</v>
      </c>
      <c r="EH20" s="171">
        <f t="shared" si="62"/>
        <v>156062.82157999999</v>
      </c>
      <c r="EI20" s="171">
        <f t="shared" si="63"/>
        <v>0</v>
      </c>
      <c r="EJ20" s="173">
        <v>15921.400519999999</v>
      </c>
      <c r="EK20" s="171">
        <f t="shared" si="64"/>
        <v>15921.400519999999</v>
      </c>
      <c r="EL20" s="171">
        <v>15800</v>
      </c>
      <c r="EM20" s="171">
        <v>14844.05046</v>
      </c>
      <c r="EN20" s="171">
        <f t="shared" si="16"/>
        <v>-1077.3500599999988</v>
      </c>
      <c r="EO20" s="171">
        <f t="shared" si="65"/>
        <v>-6.766678965500958</v>
      </c>
      <c r="EV20" s="173">
        <v>9202.9075599999996</v>
      </c>
      <c r="EW20" s="171">
        <f t="shared" si="66"/>
        <v>9202.9075599999996</v>
      </c>
      <c r="EX20" s="313">
        <v>121</v>
      </c>
      <c r="EY20" s="171">
        <v>75.759469999999993</v>
      </c>
      <c r="EZ20" s="171">
        <f t="shared" si="17"/>
        <v>-9127.1480899999988</v>
      </c>
      <c r="FA20" s="171">
        <f t="shared" si="67"/>
        <v>-99.176787667309782</v>
      </c>
      <c r="FB20" s="173">
        <v>161.33575999999999</v>
      </c>
      <c r="FC20" s="171">
        <f t="shared" si="68"/>
        <v>161.33575999999999</v>
      </c>
      <c r="FD20" s="171">
        <v>170</v>
      </c>
      <c r="FE20" s="171">
        <v>67.310249999999996</v>
      </c>
      <c r="FF20" s="171">
        <f t="shared" si="69"/>
        <v>-94.025509999999997</v>
      </c>
      <c r="FG20" s="171">
        <f t="shared" si="70"/>
        <v>-58.279398194175918</v>
      </c>
      <c r="FH20" s="171">
        <v>64722.554059999995</v>
      </c>
      <c r="FI20" s="171">
        <v>22763.508709999998</v>
      </c>
      <c r="FJ20" s="171">
        <v>50055.824400000274</v>
      </c>
      <c r="FK20" s="171">
        <v>24248.764500000001</v>
      </c>
      <c r="FL20" s="171">
        <f t="shared" si="71"/>
        <v>-14666.729659999721</v>
      </c>
      <c r="FM20" s="171">
        <f t="shared" si="72"/>
        <v>1485.2557900000029</v>
      </c>
      <c r="FN20" s="171">
        <v>4665.2752600000003</v>
      </c>
      <c r="FO20" s="171">
        <v>4665.17526</v>
      </c>
      <c r="FP20" s="171">
        <v>4226.4516899999999</v>
      </c>
      <c r="FQ20" s="171">
        <v>3496.93903</v>
      </c>
      <c r="FR20" s="171">
        <f t="shared" si="73"/>
        <v>-438.82357000000047</v>
      </c>
      <c r="FS20" s="171">
        <f t="shared" si="74"/>
        <v>-1168.23623</v>
      </c>
      <c r="FT20" s="171">
        <v>1519.2239099999999</v>
      </c>
      <c r="FU20" s="171">
        <v>340.47519999999997</v>
      </c>
      <c r="FV20" s="171">
        <v>1108.17947</v>
      </c>
      <c r="FW20" s="171">
        <v>371.10165000000001</v>
      </c>
      <c r="FX20" s="171">
        <f t="shared" si="75"/>
        <v>-411.0444399999999</v>
      </c>
      <c r="FY20" s="171">
        <f t="shared" si="76"/>
        <v>30.626450000000034</v>
      </c>
      <c r="FZ20" s="171">
        <v>12403.68352</v>
      </c>
      <c r="GA20" s="171">
        <v>11957.001829999999</v>
      </c>
      <c r="GB20" s="171">
        <v>8790.8133600000001</v>
      </c>
      <c r="GC20" s="171">
        <v>8149.9825099999998</v>
      </c>
      <c r="GD20" s="171">
        <f t="shared" si="77"/>
        <v>-3612.8701600000004</v>
      </c>
      <c r="GE20" s="171">
        <f t="shared" si="78"/>
        <v>-3807.0193199999994</v>
      </c>
      <c r="GJ20" s="171">
        <f t="shared" si="79"/>
        <v>0</v>
      </c>
      <c r="GK20" s="171">
        <f t="shared" si="80"/>
        <v>0</v>
      </c>
      <c r="GL20" s="171">
        <v>7322.5551699999996</v>
      </c>
      <c r="GM20" s="171">
        <v>5796.8564200000001</v>
      </c>
      <c r="GN20" s="171">
        <v>8456.38069</v>
      </c>
      <c r="GO20" s="171">
        <v>5628.1682799999999</v>
      </c>
      <c r="GP20" s="171">
        <f t="shared" si="81"/>
        <v>1133.8255200000003</v>
      </c>
      <c r="GQ20" s="171">
        <f t="shared" si="82"/>
        <v>-168.6881400000002</v>
      </c>
      <c r="GV20" s="171">
        <f t="shared" si="83"/>
        <v>0</v>
      </c>
      <c r="GW20" s="171">
        <f t="shared" si="84"/>
        <v>0</v>
      </c>
      <c r="HB20" s="171">
        <f t="shared" si="85"/>
        <v>0</v>
      </c>
      <c r="HC20" s="171">
        <f t="shared" si="86"/>
        <v>0</v>
      </c>
      <c r="HH20" s="171">
        <f t="shared" si="87"/>
        <v>0</v>
      </c>
      <c r="HI20" s="171">
        <f t="shared" si="88"/>
        <v>0</v>
      </c>
      <c r="HN20" s="171">
        <f t="shared" si="89"/>
        <v>0</v>
      </c>
      <c r="HO20" s="171">
        <f t="shared" si="90"/>
        <v>0</v>
      </c>
      <c r="HP20" s="171">
        <v>752.88973999999996</v>
      </c>
      <c r="HQ20" s="171">
        <v>4</v>
      </c>
      <c r="HR20" s="171">
        <v>632.04201999999998</v>
      </c>
      <c r="HS20" s="171">
        <v>37.745649999999998</v>
      </c>
      <c r="HT20" s="171">
        <f t="shared" si="91"/>
        <v>-120.84771999999998</v>
      </c>
      <c r="HU20" s="171">
        <f t="shared" si="92"/>
        <v>33.745649999999998</v>
      </c>
      <c r="HV20" s="171">
        <v>0</v>
      </c>
      <c r="HW20" s="171">
        <v>0</v>
      </c>
      <c r="HX20" s="171">
        <v>0</v>
      </c>
      <c r="HY20" s="171">
        <v>0</v>
      </c>
      <c r="HZ20" s="171">
        <f t="shared" si="93"/>
        <v>0</v>
      </c>
      <c r="IA20" s="171">
        <f t="shared" si="94"/>
        <v>0</v>
      </c>
      <c r="IB20" s="171">
        <v>0</v>
      </c>
      <c r="IC20" s="171">
        <v>0</v>
      </c>
      <c r="ID20" s="171">
        <v>0</v>
      </c>
      <c r="IE20" s="171">
        <v>0</v>
      </c>
      <c r="IF20" s="171">
        <f t="shared" si="95"/>
        <v>0</v>
      </c>
      <c r="IG20" s="171">
        <f t="shared" si="96"/>
        <v>0</v>
      </c>
      <c r="IH20" s="171">
        <v>27227.540830000002</v>
      </c>
      <c r="II20" s="171">
        <v>0</v>
      </c>
      <c r="IJ20" s="171">
        <v>6560.3860000000004</v>
      </c>
      <c r="IK20" s="171">
        <v>6554.9759999999997</v>
      </c>
      <c r="IL20" s="171">
        <f t="shared" si="97"/>
        <v>-20667.154829999999</v>
      </c>
      <c r="IM20" s="171">
        <f t="shared" si="98"/>
        <v>6554.9759999999997</v>
      </c>
      <c r="IN20" s="171">
        <v>569.58420000000001</v>
      </c>
      <c r="IO20" s="171">
        <v>0</v>
      </c>
      <c r="IP20" s="171">
        <v>569.58420000000001</v>
      </c>
      <c r="IQ20" s="171">
        <v>0</v>
      </c>
      <c r="IR20" s="171">
        <f t="shared" si="99"/>
        <v>0</v>
      </c>
      <c r="IS20" s="171">
        <f t="shared" si="100"/>
        <v>0</v>
      </c>
      <c r="IT20" s="171">
        <v>17165.861290000001</v>
      </c>
      <c r="IU20" s="171">
        <v>301.46201000000002</v>
      </c>
      <c r="IV20" s="171">
        <v>70770.121620000005</v>
      </c>
      <c r="IW20" s="171">
        <v>1659.63903</v>
      </c>
      <c r="IX20" s="171">
        <f t="shared" si="101"/>
        <v>53604.260330000005</v>
      </c>
      <c r="IY20" s="171">
        <f t="shared" si="102"/>
        <v>1358.1770200000001</v>
      </c>
      <c r="JB20" s="171">
        <f t="shared" si="103"/>
        <v>0</v>
      </c>
      <c r="JE20" s="171">
        <f t="shared" si="104"/>
        <v>0</v>
      </c>
      <c r="JF20" s="171">
        <v>0</v>
      </c>
      <c r="JG20" s="171">
        <v>892.07411000000002</v>
      </c>
      <c r="JH20" s="171">
        <f t="shared" si="105"/>
        <v>892.07411000000002</v>
      </c>
      <c r="JI20" s="171">
        <v>0</v>
      </c>
      <c r="JJ20" s="171">
        <v>0</v>
      </c>
      <c r="JK20" s="171">
        <f t="shared" si="106"/>
        <v>0</v>
      </c>
      <c r="JL20" s="171">
        <v>0</v>
      </c>
      <c r="JM20" s="171">
        <v>0</v>
      </c>
      <c r="JN20" s="171">
        <f t="shared" si="107"/>
        <v>0</v>
      </c>
      <c r="JO20" s="171">
        <v>227.25</v>
      </c>
      <c r="JP20" s="171">
        <v>191.25</v>
      </c>
      <c r="JQ20" s="171">
        <f t="shared" si="108"/>
        <v>-36</v>
      </c>
      <c r="JR20" s="171">
        <v>0</v>
      </c>
      <c r="JS20" s="171">
        <v>0</v>
      </c>
      <c r="JT20" s="171">
        <f t="shared" si="109"/>
        <v>0</v>
      </c>
      <c r="JU20" s="171">
        <v>0</v>
      </c>
      <c r="JV20" s="171">
        <v>0</v>
      </c>
      <c r="JW20" s="171">
        <f t="shared" si="110"/>
        <v>0</v>
      </c>
      <c r="JX20" s="171">
        <v>0</v>
      </c>
      <c r="JY20" s="171">
        <v>0</v>
      </c>
      <c r="JZ20" s="171">
        <f t="shared" si="111"/>
        <v>0</v>
      </c>
      <c r="KA20" s="171">
        <v>8739.5532800000001</v>
      </c>
      <c r="KC20" s="171">
        <v>5486.5906199999999</v>
      </c>
      <c r="KE20" s="171">
        <f t="shared" si="112"/>
        <v>-3252.9626600000001</v>
      </c>
      <c r="KF20" s="171">
        <f t="shared" si="113"/>
        <v>0</v>
      </c>
    </row>
    <row r="21" spans="1:293" s="171" customFormat="1" x14ac:dyDescent="0.25">
      <c r="A21" s="169" t="s">
        <v>165</v>
      </c>
      <c r="B21" s="170">
        <v>0</v>
      </c>
      <c r="C21" s="170">
        <v>1532647.4019599999</v>
      </c>
      <c r="D21" s="170">
        <v>0</v>
      </c>
      <c r="E21" s="170">
        <v>153155.40914</v>
      </c>
      <c r="F21" s="171">
        <f t="shared" si="19"/>
        <v>1685802.8111</v>
      </c>
      <c r="G21" s="170">
        <v>0</v>
      </c>
      <c r="H21" s="170">
        <v>1537182.56528</v>
      </c>
      <c r="I21" s="170">
        <v>0</v>
      </c>
      <c r="J21" s="170">
        <v>153879.83353</v>
      </c>
      <c r="K21" s="171">
        <f t="shared" si="20"/>
        <v>1691062.3988099999</v>
      </c>
      <c r="L21" s="170">
        <v>126615.37888999999</v>
      </c>
      <c r="M21" s="170">
        <v>0</v>
      </c>
      <c r="N21" s="170">
        <v>33254</v>
      </c>
      <c r="O21" s="171">
        <f t="shared" si="21"/>
        <v>159869.37888999999</v>
      </c>
      <c r="P21" s="170">
        <v>126467.00776000001</v>
      </c>
      <c r="Q21" s="170">
        <v>0</v>
      </c>
      <c r="R21" s="170">
        <v>33254</v>
      </c>
      <c r="S21" s="171">
        <f t="shared" si="22"/>
        <v>159721.00776000001</v>
      </c>
      <c r="T21" s="170">
        <v>0</v>
      </c>
      <c r="U21" s="170">
        <v>1581150.60882</v>
      </c>
      <c r="V21" s="170">
        <v>0</v>
      </c>
      <c r="W21" s="170">
        <v>156472.31122</v>
      </c>
      <c r="X21" s="171">
        <f t="shared" si="23"/>
        <v>1737622.92004</v>
      </c>
      <c r="Y21" s="170">
        <v>0</v>
      </c>
      <c r="Z21" s="170">
        <v>1539305.44469</v>
      </c>
      <c r="AA21" s="170">
        <v>0</v>
      </c>
      <c r="AB21" s="170">
        <v>148416.79561999999</v>
      </c>
      <c r="AC21" s="171">
        <f t="shared" si="24"/>
        <v>1687722.24031</v>
      </c>
      <c r="AD21" s="171">
        <f t="shared" si="25"/>
        <v>1525933.43221</v>
      </c>
      <c r="AE21" s="171">
        <f t="shared" si="0"/>
        <v>1531341.39105</v>
      </c>
      <c r="AF21" s="171">
        <f t="shared" si="26"/>
        <v>100.35440332624259</v>
      </c>
      <c r="AG21" s="172">
        <v>1526124</v>
      </c>
      <c r="AH21" s="172">
        <f t="shared" si="27"/>
        <v>190.56779000000097</v>
      </c>
      <c r="AI21" s="172">
        <v>1531341</v>
      </c>
      <c r="AJ21" s="172">
        <f t="shared" si="28"/>
        <v>-0.39104999997653067</v>
      </c>
      <c r="AK21" s="171">
        <f t="shared" si="1"/>
        <v>1577753.5411499999</v>
      </c>
      <c r="AL21" s="171">
        <f t="shared" si="2"/>
        <v>1528001.2325500001</v>
      </c>
      <c r="AM21" s="171">
        <f t="shared" si="29"/>
        <v>96.84663622661013</v>
      </c>
      <c r="AN21" s="173">
        <v>0</v>
      </c>
      <c r="AO21" s="173">
        <v>-52365.636769999997</v>
      </c>
      <c r="AP21" s="173">
        <v>0</v>
      </c>
      <c r="AQ21" s="173">
        <v>-3275.20208</v>
      </c>
      <c r="AR21" s="171">
        <f t="shared" si="30"/>
        <v>-55640.83885</v>
      </c>
      <c r="AS21" s="173">
        <v>0</v>
      </c>
      <c r="AT21" s="173">
        <v>-2122.87941</v>
      </c>
      <c r="AU21" s="173">
        <v>0</v>
      </c>
      <c r="AV21" s="173">
        <v>5463.03791</v>
      </c>
      <c r="AW21" s="171">
        <f t="shared" si="31"/>
        <v>3340.1585</v>
      </c>
      <c r="AX21" s="170">
        <v>0</v>
      </c>
      <c r="AY21" s="170">
        <v>1363682.1867899999</v>
      </c>
      <c r="AZ21" s="170">
        <v>0</v>
      </c>
      <c r="BA21" s="170">
        <v>126425.31075</v>
      </c>
      <c r="BB21" s="312">
        <f t="shared" si="32"/>
        <v>190.06813999998849</v>
      </c>
      <c r="BC21" s="171">
        <f t="shared" si="33"/>
        <v>1490107.4975399999</v>
      </c>
      <c r="BD21" s="170">
        <v>0</v>
      </c>
      <c r="BE21" s="170">
        <v>1349686.4772699999</v>
      </c>
      <c r="BF21" s="170">
        <v>0</v>
      </c>
      <c r="BG21" s="170">
        <v>126467.00775999999</v>
      </c>
      <c r="BH21" s="312">
        <f t="shared" si="3"/>
        <v>0</v>
      </c>
      <c r="BI21" s="171">
        <f t="shared" si="34"/>
        <v>1476153.4850299999</v>
      </c>
      <c r="BJ21" s="171">
        <f t="shared" si="4"/>
        <v>1330238.1186499998</v>
      </c>
      <c r="BK21" s="171">
        <f t="shared" si="5"/>
        <v>1316432.4772699999</v>
      </c>
      <c r="BL21" s="171">
        <f t="shared" si="35"/>
        <v>98.962167661079306</v>
      </c>
      <c r="BM21" s="170">
        <v>0</v>
      </c>
      <c r="BN21" s="170">
        <v>169066.41769999999</v>
      </c>
      <c r="BO21" s="170">
        <v>0</v>
      </c>
      <c r="BP21" s="170">
        <v>27057.586299999999</v>
      </c>
      <c r="BQ21" s="171">
        <f t="shared" si="36"/>
        <v>196124.00399999999</v>
      </c>
      <c r="BR21" s="171">
        <f t="shared" si="6"/>
        <v>196124.00399999999</v>
      </c>
      <c r="BS21" s="170">
        <v>0</v>
      </c>
      <c r="BT21" s="170">
        <v>187597.29053999999</v>
      </c>
      <c r="BU21" s="170">
        <v>0</v>
      </c>
      <c r="BV21" s="170">
        <v>27741.707590000002</v>
      </c>
      <c r="BW21" s="171">
        <f t="shared" si="37"/>
        <v>215338.99812999999</v>
      </c>
      <c r="BX21" s="171">
        <f t="shared" si="7"/>
        <v>215338.99812999999</v>
      </c>
      <c r="BY21" s="171">
        <v>12194.777889999999</v>
      </c>
      <c r="BZ21" s="173">
        <v>11827.9</v>
      </c>
      <c r="CA21" s="171">
        <f t="shared" si="38"/>
        <v>11827.9</v>
      </c>
      <c r="CB21" s="173">
        <v>11204.545899999999</v>
      </c>
      <c r="CC21" s="171">
        <f t="shared" si="38"/>
        <v>11204.545899999999</v>
      </c>
      <c r="CD21" s="171">
        <f t="shared" si="8"/>
        <v>94.729799034486248</v>
      </c>
      <c r="CE21" s="171">
        <f t="shared" si="39"/>
        <v>-8.1201314114299095</v>
      </c>
      <c r="CF21" s="173">
        <v>1276.33502</v>
      </c>
      <c r="CG21" s="171">
        <f t="shared" si="40"/>
        <v>1276.33502</v>
      </c>
      <c r="CH21" s="269">
        <v>535.57209999999998</v>
      </c>
      <c r="CI21" s="171">
        <f t="shared" si="41"/>
        <v>535.57209999999998</v>
      </c>
      <c r="CJ21" s="171">
        <f t="shared" si="9"/>
        <v>41.961717856805336</v>
      </c>
      <c r="CK21" s="173">
        <v>13584.2</v>
      </c>
      <c r="CL21" s="171">
        <f t="shared" si="42"/>
        <v>13584.2</v>
      </c>
      <c r="CM21" s="173">
        <v>16387.727149999999</v>
      </c>
      <c r="CN21" s="171">
        <f t="shared" si="43"/>
        <v>16387.727149999999</v>
      </c>
      <c r="CO21" s="173">
        <v>13494.79747</v>
      </c>
      <c r="CP21" s="171">
        <f t="shared" si="44"/>
        <v>13494.79747</v>
      </c>
      <c r="CQ21" s="171">
        <f t="shared" si="10"/>
        <v>99.341863856539206</v>
      </c>
      <c r="CR21" s="171">
        <f t="shared" si="45"/>
        <v>-2892.9296799999993</v>
      </c>
      <c r="CS21" s="171">
        <f t="shared" si="46"/>
        <v>-17.653025666832619</v>
      </c>
      <c r="CT21" s="171">
        <v>16364.431979999999</v>
      </c>
      <c r="CU21" s="173">
        <v>13103.78515</v>
      </c>
      <c r="CV21" s="171">
        <f t="shared" si="47"/>
        <v>13103.78515</v>
      </c>
      <c r="CW21" s="173">
        <v>15662.028039999999</v>
      </c>
      <c r="CX21" s="171">
        <f t="shared" ref="CX21" si="125">(CW21)</f>
        <v>15662.028039999999</v>
      </c>
      <c r="CY21" s="171">
        <f t="shared" si="11"/>
        <v>119.52293067015069</v>
      </c>
      <c r="CZ21" s="171">
        <f t="shared" si="49"/>
        <v>-4.2922598282571158</v>
      </c>
      <c r="DA21" s="171">
        <v>71909.683829999994</v>
      </c>
      <c r="DB21" s="171">
        <v>1826.1314600000001</v>
      </c>
      <c r="DC21" s="173">
        <v>75249.842329999999</v>
      </c>
      <c r="DD21" s="171">
        <f t="shared" si="50"/>
        <v>75249.842329999999</v>
      </c>
      <c r="DE21" s="173">
        <v>508.55018999999999</v>
      </c>
      <c r="DF21" s="171">
        <f t="shared" si="51"/>
        <v>508.55018999999999</v>
      </c>
      <c r="DG21" s="171">
        <f t="shared" si="12"/>
        <v>3340.158500000005</v>
      </c>
      <c r="DH21" s="171">
        <f t="shared" si="13"/>
        <v>-1317.5812700000001</v>
      </c>
      <c r="DJ21" s="171">
        <v>0</v>
      </c>
      <c r="DK21" s="171">
        <f t="shared" si="52"/>
        <v>0</v>
      </c>
      <c r="DL21" s="170">
        <v>0</v>
      </c>
      <c r="DM21" s="170">
        <v>1363580.9842600001</v>
      </c>
      <c r="DN21" s="170">
        <v>0</v>
      </c>
      <c r="DO21" s="170">
        <v>126097.82283999999</v>
      </c>
      <c r="DP21" s="171">
        <f t="shared" si="53"/>
        <v>1489678.8071000001</v>
      </c>
      <c r="DQ21" s="170">
        <v>0</v>
      </c>
      <c r="DR21" s="170">
        <v>1349585.27474</v>
      </c>
      <c r="DS21" s="170">
        <v>0</v>
      </c>
      <c r="DT21" s="170">
        <v>126138.12594</v>
      </c>
      <c r="DU21" s="171">
        <f t="shared" si="54"/>
        <v>1475723.40068</v>
      </c>
      <c r="DV21" s="174">
        <f t="shared" si="14"/>
        <v>1329809.42821</v>
      </c>
      <c r="DW21" s="174">
        <f t="shared" si="15"/>
        <v>1316002.39292</v>
      </c>
      <c r="DX21" s="171">
        <f t="shared" si="55"/>
        <v>98.961728274961544</v>
      </c>
      <c r="DY21" s="170">
        <v>131557.85083000001</v>
      </c>
      <c r="DZ21" s="171">
        <f t="shared" si="56"/>
        <v>131557.85083000001</v>
      </c>
      <c r="EA21" s="171">
        <v>35</v>
      </c>
      <c r="EB21" s="171">
        <f t="shared" si="57"/>
        <v>375879.57380000001</v>
      </c>
      <c r="EC21" s="171">
        <f t="shared" si="58"/>
        <v>131557.85083000001</v>
      </c>
      <c r="ED21" s="171">
        <f t="shared" si="59"/>
        <v>0</v>
      </c>
      <c r="EE21" s="170">
        <v>151286.88372000001</v>
      </c>
      <c r="EF21" s="171">
        <f t="shared" si="60"/>
        <v>151286.88372000001</v>
      </c>
      <c r="EG21" s="171">
        <f t="shared" si="61"/>
        <v>432248.23920000001</v>
      </c>
      <c r="EH21" s="171">
        <f t="shared" si="62"/>
        <v>151286.88371999998</v>
      </c>
      <c r="EI21" s="171">
        <f t="shared" si="63"/>
        <v>0</v>
      </c>
      <c r="EJ21" s="173">
        <v>11899.668809999999</v>
      </c>
      <c r="EK21" s="171">
        <f t="shared" si="64"/>
        <v>11899.668809999999</v>
      </c>
      <c r="EL21" s="171">
        <v>11708</v>
      </c>
      <c r="EM21" s="171">
        <v>11080.87674</v>
      </c>
      <c r="EN21" s="171">
        <f t="shared" si="16"/>
        <v>-818.79206999999951</v>
      </c>
      <c r="EO21" s="171">
        <f t="shared" si="65"/>
        <v>-6.8807971303530735</v>
      </c>
      <c r="EV21" s="173">
        <v>93.170060000000007</v>
      </c>
      <c r="EW21" s="171">
        <f t="shared" si="66"/>
        <v>93.170060000000007</v>
      </c>
      <c r="EX21" s="313">
        <v>91</v>
      </c>
      <c r="EY21" s="171">
        <v>67.280659999999997</v>
      </c>
      <c r="EZ21" s="171">
        <f t="shared" si="17"/>
        <v>-25.889400000000009</v>
      </c>
      <c r="FA21" s="171">
        <f t="shared" si="67"/>
        <v>-27.787252686109696</v>
      </c>
      <c r="FB21" s="173">
        <v>201.93902</v>
      </c>
      <c r="FC21" s="171">
        <f t="shared" si="68"/>
        <v>201.93902</v>
      </c>
      <c r="FD21" s="171">
        <v>28.9</v>
      </c>
      <c r="FE21" s="171">
        <v>56.388500000000001</v>
      </c>
      <c r="FF21" s="171">
        <f t="shared" si="69"/>
        <v>-145.55052000000001</v>
      </c>
      <c r="FG21" s="171">
        <f t="shared" si="70"/>
        <v>-72.076471402109405</v>
      </c>
      <c r="FH21" s="171">
        <v>54012.988989999983</v>
      </c>
      <c r="FI21" s="171">
        <v>12619.262009999999</v>
      </c>
      <c r="FJ21" s="171">
        <v>24518.779140000232</v>
      </c>
      <c r="FK21" s="171">
        <v>14763.49324</v>
      </c>
      <c r="FL21" s="171">
        <f t="shared" si="71"/>
        <v>-29494.209849999752</v>
      </c>
      <c r="FM21" s="171">
        <f t="shared" si="72"/>
        <v>2144.2312300000012</v>
      </c>
      <c r="FN21" s="171">
        <v>2604.8716100000001</v>
      </c>
      <c r="FO21" s="171">
        <v>2560.3501900000001</v>
      </c>
      <c r="FP21" s="171">
        <v>2762.5551999999998</v>
      </c>
      <c r="FQ21" s="171">
        <v>2762.5551999999998</v>
      </c>
      <c r="FR21" s="171">
        <f t="shared" si="73"/>
        <v>157.68358999999964</v>
      </c>
      <c r="FS21" s="171">
        <f t="shared" si="74"/>
        <v>202.20500999999967</v>
      </c>
      <c r="FT21" s="171">
        <v>10002.379499999999</v>
      </c>
      <c r="FU21" s="171">
        <v>9039.5960799999993</v>
      </c>
      <c r="FV21" s="171">
        <v>10269.041370000001</v>
      </c>
      <c r="FW21" s="171">
        <v>9468.3438399999995</v>
      </c>
      <c r="FX21" s="171">
        <f t="shared" si="75"/>
        <v>266.66187000000173</v>
      </c>
      <c r="FY21" s="171">
        <f t="shared" si="76"/>
        <v>428.7477600000002</v>
      </c>
      <c r="FZ21" s="171">
        <v>579.77918</v>
      </c>
      <c r="GA21" s="171">
        <v>579.77918</v>
      </c>
      <c r="GB21" s="171">
        <v>583.46249999999998</v>
      </c>
      <c r="GC21" s="171">
        <v>583.46249999999998</v>
      </c>
      <c r="GD21" s="171">
        <f t="shared" si="77"/>
        <v>3.6833199999999806</v>
      </c>
      <c r="GE21" s="171">
        <f t="shared" si="78"/>
        <v>3.6833199999999806</v>
      </c>
      <c r="GJ21" s="171">
        <f t="shared" si="79"/>
        <v>0</v>
      </c>
      <c r="GK21" s="171">
        <f t="shared" si="80"/>
        <v>0</v>
      </c>
      <c r="GL21" s="171">
        <v>33.866149999999998</v>
      </c>
      <c r="GM21" s="171">
        <v>33.866149999999998</v>
      </c>
      <c r="GN21" s="171">
        <v>33.866149999999998</v>
      </c>
      <c r="GO21" s="171">
        <v>33.866149999999998</v>
      </c>
      <c r="GP21" s="171">
        <f t="shared" si="81"/>
        <v>0</v>
      </c>
      <c r="GQ21" s="171">
        <f t="shared" si="82"/>
        <v>0</v>
      </c>
      <c r="GV21" s="171">
        <f t="shared" si="83"/>
        <v>0</v>
      </c>
      <c r="GW21" s="171">
        <f t="shared" si="84"/>
        <v>0</v>
      </c>
      <c r="HB21" s="171">
        <f t="shared" si="85"/>
        <v>0</v>
      </c>
      <c r="HC21" s="171">
        <f t="shared" si="86"/>
        <v>0</v>
      </c>
      <c r="HH21" s="171">
        <f t="shared" si="87"/>
        <v>0</v>
      </c>
      <c r="HI21" s="171">
        <f t="shared" si="88"/>
        <v>0</v>
      </c>
      <c r="HN21" s="171">
        <f t="shared" si="89"/>
        <v>0</v>
      </c>
      <c r="HO21" s="171">
        <f t="shared" si="90"/>
        <v>0</v>
      </c>
      <c r="HP21" s="171">
        <v>757.62774999999999</v>
      </c>
      <c r="HQ21" s="171">
        <v>234.41574</v>
      </c>
      <c r="HR21" s="171">
        <v>459.7577</v>
      </c>
      <c r="HS21" s="171">
        <v>327.56574000000001</v>
      </c>
      <c r="HT21" s="171">
        <f t="shared" si="91"/>
        <v>-297.87004999999999</v>
      </c>
      <c r="HU21" s="171">
        <f t="shared" si="92"/>
        <v>93.15</v>
      </c>
      <c r="HV21" s="171">
        <v>0</v>
      </c>
      <c r="HW21" s="171">
        <v>0</v>
      </c>
      <c r="HX21" s="171">
        <v>0</v>
      </c>
      <c r="HY21" s="171">
        <v>0</v>
      </c>
      <c r="HZ21" s="171">
        <f t="shared" si="93"/>
        <v>0</v>
      </c>
      <c r="IA21" s="171">
        <f t="shared" si="94"/>
        <v>0</v>
      </c>
      <c r="IB21" s="171">
        <v>0</v>
      </c>
      <c r="IC21" s="171">
        <v>0</v>
      </c>
      <c r="ID21" s="171">
        <v>0</v>
      </c>
      <c r="IE21" s="171">
        <v>0</v>
      </c>
      <c r="IF21" s="171">
        <f t="shared" si="95"/>
        <v>0</v>
      </c>
      <c r="IG21" s="171">
        <f t="shared" si="96"/>
        <v>0</v>
      </c>
      <c r="IH21" s="171">
        <v>22751.641439999999</v>
      </c>
      <c r="II21" s="171">
        <v>0</v>
      </c>
      <c r="IJ21" s="171">
        <v>0</v>
      </c>
      <c r="IK21" s="171">
        <v>0</v>
      </c>
      <c r="IL21" s="171">
        <f t="shared" si="97"/>
        <v>-22751.641439999999</v>
      </c>
      <c r="IM21" s="171">
        <f t="shared" si="98"/>
        <v>0</v>
      </c>
      <c r="IN21" s="171">
        <v>0</v>
      </c>
      <c r="IO21" s="171">
        <v>0</v>
      </c>
      <c r="IP21" s="171">
        <v>57.416310000000003</v>
      </c>
      <c r="IQ21" s="171">
        <v>57.154859999999999</v>
      </c>
      <c r="IR21" s="171">
        <f t="shared" si="99"/>
        <v>57.416310000000003</v>
      </c>
      <c r="IS21" s="171">
        <f t="shared" si="100"/>
        <v>57.154859999999999</v>
      </c>
      <c r="IT21" s="171">
        <v>10956.714529999999</v>
      </c>
      <c r="IU21" s="171">
        <v>0</v>
      </c>
      <c r="IV21" s="171">
        <v>7594.0701699999991</v>
      </c>
      <c r="IW21" s="171">
        <v>0</v>
      </c>
      <c r="IX21" s="171">
        <f t="shared" si="101"/>
        <v>-3362.6443600000002</v>
      </c>
      <c r="IY21" s="171">
        <f t="shared" si="102"/>
        <v>0</v>
      </c>
      <c r="JB21" s="171">
        <f t="shared" si="103"/>
        <v>0</v>
      </c>
      <c r="JE21" s="171">
        <f t="shared" si="104"/>
        <v>0</v>
      </c>
      <c r="JF21" s="171">
        <v>0</v>
      </c>
      <c r="JG21" s="171">
        <v>0</v>
      </c>
      <c r="JH21" s="171">
        <f t="shared" si="105"/>
        <v>0</v>
      </c>
      <c r="JI21" s="171">
        <v>0</v>
      </c>
      <c r="JJ21" s="171">
        <v>0</v>
      </c>
      <c r="JK21" s="171">
        <f t="shared" si="106"/>
        <v>0</v>
      </c>
      <c r="JL21" s="171">
        <v>0</v>
      </c>
      <c r="JM21" s="171">
        <v>0</v>
      </c>
      <c r="JN21" s="171">
        <f t="shared" si="107"/>
        <v>0</v>
      </c>
      <c r="JO21" s="171">
        <v>0</v>
      </c>
      <c r="JP21" s="171">
        <v>0</v>
      </c>
      <c r="JQ21" s="171">
        <f t="shared" si="108"/>
        <v>0</v>
      </c>
      <c r="JR21" s="171">
        <v>0</v>
      </c>
      <c r="JS21" s="171">
        <v>0</v>
      </c>
      <c r="JT21" s="171">
        <f t="shared" si="109"/>
        <v>0</v>
      </c>
      <c r="JU21" s="171">
        <v>0</v>
      </c>
      <c r="JV21" s="171">
        <v>0</v>
      </c>
      <c r="JW21" s="171">
        <f t="shared" si="110"/>
        <v>0</v>
      </c>
      <c r="JX21" s="171">
        <v>0</v>
      </c>
      <c r="JY21" s="171">
        <v>0</v>
      </c>
      <c r="JZ21" s="171">
        <f t="shared" si="111"/>
        <v>0</v>
      </c>
      <c r="KA21" s="171">
        <v>8852.2440200000001</v>
      </c>
      <c r="KC21" s="171">
        <v>6647.7692100000004</v>
      </c>
      <c r="KE21" s="171">
        <f t="shared" si="112"/>
        <v>-2204.4748099999997</v>
      </c>
      <c r="KF21" s="171">
        <f t="shared" si="113"/>
        <v>0</v>
      </c>
    </row>
    <row r="22" spans="1:293" s="171" customFormat="1" x14ac:dyDescent="0.25">
      <c r="A22" s="169" t="s">
        <v>166</v>
      </c>
      <c r="B22" s="170">
        <v>0</v>
      </c>
      <c r="C22" s="170">
        <v>1303731.52303</v>
      </c>
      <c r="D22" s="170">
        <v>231998.36053999999</v>
      </c>
      <c r="E22" s="170">
        <v>53872.060080000003</v>
      </c>
      <c r="F22" s="171">
        <f t="shared" si="19"/>
        <v>1589601.94365</v>
      </c>
      <c r="G22" s="170">
        <v>0</v>
      </c>
      <c r="H22" s="170">
        <v>1259782.80079</v>
      </c>
      <c r="I22" s="170">
        <v>214914.84340000001</v>
      </c>
      <c r="J22" s="170">
        <v>52072.577409999998</v>
      </c>
      <c r="K22" s="171">
        <f t="shared" si="20"/>
        <v>1526770.2215999998</v>
      </c>
      <c r="L22" s="170">
        <v>148098.35199</v>
      </c>
      <c r="M22" s="170">
        <v>5847.4409100000003</v>
      </c>
      <c r="N22" s="170">
        <v>579.03548000000001</v>
      </c>
      <c r="O22" s="171">
        <f t="shared" si="21"/>
        <v>154524.82837999999</v>
      </c>
      <c r="P22" s="170">
        <v>138765.84045999998</v>
      </c>
      <c r="Q22" s="170">
        <v>5342.0806599999996</v>
      </c>
      <c r="R22" s="170">
        <v>556.64877999999999</v>
      </c>
      <c r="S22" s="171">
        <f t="shared" si="22"/>
        <v>144664.56989999997</v>
      </c>
      <c r="T22" s="170">
        <v>0</v>
      </c>
      <c r="U22" s="170">
        <v>1355924.8121199999</v>
      </c>
      <c r="V22" s="170">
        <v>249360.97740999999</v>
      </c>
      <c r="W22" s="170">
        <v>55631.606699999997</v>
      </c>
      <c r="X22" s="171">
        <f t="shared" si="23"/>
        <v>1660917.3962299998</v>
      </c>
      <c r="Y22" s="170">
        <v>0</v>
      </c>
      <c r="Z22" s="170">
        <v>1281271.78437</v>
      </c>
      <c r="AA22" s="170">
        <v>218108.04526000001</v>
      </c>
      <c r="AB22" s="170">
        <v>49410.78585</v>
      </c>
      <c r="AC22" s="171">
        <f t="shared" si="24"/>
        <v>1548790.6154800002</v>
      </c>
      <c r="AD22" s="171">
        <f t="shared" si="25"/>
        <v>1435077.11527</v>
      </c>
      <c r="AE22" s="171">
        <f t="shared" si="0"/>
        <v>1382105.6516999998</v>
      </c>
      <c r="AF22" s="171">
        <f t="shared" si="26"/>
        <v>96.308807170962808</v>
      </c>
      <c r="AG22" s="172">
        <v>1442662</v>
      </c>
      <c r="AH22" s="172">
        <f t="shared" si="27"/>
        <v>7584.8847300000489</v>
      </c>
      <c r="AI22" s="172">
        <v>1382106</v>
      </c>
      <c r="AJ22" s="172">
        <f t="shared" si="28"/>
        <v>0.34830000018700957</v>
      </c>
      <c r="AK22" s="171">
        <f t="shared" si="1"/>
        <v>1506392.5678499998</v>
      </c>
      <c r="AL22" s="171">
        <f t="shared" si="2"/>
        <v>1404126.0455800002</v>
      </c>
      <c r="AM22" s="171">
        <f t="shared" si="29"/>
        <v>93.211163912209173</v>
      </c>
      <c r="AN22" s="173">
        <v>0</v>
      </c>
      <c r="AO22" s="173">
        <v>-46193.9764</v>
      </c>
      <c r="AP22" s="173">
        <v>-13660.94282</v>
      </c>
      <c r="AQ22" s="173">
        <v>-1205.7966200000001</v>
      </c>
      <c r="AR22" s="171">
        <f t="shared" si="30"/>
        <v>-61060.715839999997</v>
      </c>
      <c r="AS22" s="173">
        <v>0</v>
      </c>
      <c r="AT22" s="173">
        <v>-21488.98358</v>
      </c>
      <c r="AU22" s="173">
        <v>-3193.2018600000001</v>
      </c>
      <c r="AV22" s="173">
        <v>2661.7915600000001</v>
      </c>
      <c r="AW22" s="171">
        <f t="shared" si="31"/>
        <v>-22020.39388</v>
      </c>
      <c r="AX22" s="170">
        <v>0</v>
      </c>
      <c r="AY22" s="170">
        <v>1080246.5401999999</v>
      </c>
      <c r="AZ22" s="170">
        <v>101112.5512</v>
      </c>
      <c r="BA22" s="170">
        <v>44474.76008</v>
      </c>
      <c r="BB22" s="312">
        <f t="shared" si="32"/>
        <v>2511.0407100000011</v>
      </c>
      <c r="BC22" s="171">
        <f t="shared" si="33"/>
        <v>1225833.85148</v>
      </c>
      <c r="BD22" s="170">
        <v>0</v>
      </c>
      <c r="BE22" s="170">
        <v>1029043.4956800001</v>
      </c>
      <c r="BF22" s="170">
        <v>94184.852379999997</v>
      </c>
      <c r="BG22" s="170">
        <v>44580.988080000003</v>
      </c>
      <c r="BH22" s="312">
        <f t="shared" si="3"/>
        <v>0</v>
      </c>
      <c r="BI22" s="171">
        <f t="shared" si="34"/>
        <v>1167809.33614</v>
      </c>
      <c r="BJ22" s="171">
        <f t="shared" si="4"/>
        <v>1071309.0230999999</v>
      </c>
      <c r="BK22" s="171">
        <f t="shared" si="5"/>
        <v>1023144.76624</v>
      </c>
      <c r="BL22" s="171">
        <f t="shared" si="35"/>
        <v>95.504167721781243</v>
      </c>
      <c r="BM22" s="170">
        <v>0</v>
      </c>
      <c r="BN22" s="170">
        <v>224136.83345000001</v>
      </c>
      <c r="BO22" s="170">
        <v>132187.95822</v>
      </c>
      <c r="BP22" s="170">
        <v>10437.299999999999</v>
      </c>
      <c r="BQ22" s="171">
        <f t="shared" si="36"/>
        <v>366762.09166999999</v>
      </c>
      <c r="BR22" s="171">
        <f t="shared" si="6"/>
        <v>366762.09166999999</v>
      </c>
      <c r="BS22" s="170">
        <v>0</v>
      </c>
      <c r="BT22" s="170">
        <v>231823.24815</v>
      </c>
      <c r="BU22" s="170">
        <v>122104.92389999999</v>
      </c>
      <c r="BV22" s="170">
        <v>8529.9588800000001</v>
      </c>
      <c r="BW22" s="171">
        <f t="shared" si="37"/>
        <v>362458.13092999998</v>
      </c>
      <c r="BX22" s="171">
        <f t="shared" si="7"/>
        <v>362458.13092999998</v>
      </c>
      <c r="BY22" s="171">
        <v>24822.741470000001</v>
      </c>
      <c r="BZ22" s="173">
        <v>20156</v>
      </c>
      <c r="CA22" s="171">
        <f t="shared" si="38"/>
        <v>20156</v>
      </c>
      <c r="CB22" s="173">
        <v>20982.734850000001</v>
      </c>
      <c r="CC22" s="171">
        <f t="shared" si="38"/>
        <v>20982.734850000001</v>
      </c>
      <c r="CD22" s="171">
        <f t="shared" si="8"/>
        <v>104.10168113713038</v>
      </c>
      <c r="CE22" s="171">
        <f t="shared" si="39"/>
        <v>-15.469712016462452</v>
      </c>
      <c r="CF22" s="173">
        <v>5715.4835899999998</v>
      </c>
      <c r="CG22" s="171">
        <f t="shared" si="40"/>
        <v>5715.4835899999998</v>
      </c>
      <c r="CH22" s="269">
        <v>10830.663769999999</v>
      </c>
      <c r="CI22" s="171">
        <f t="shared" si="41"/>
        <v>10830.663769999999</v>
      </c>
      <c r="CJ22" s="171">
        <f t="shared" si="9"/>
        <v>189.49689207313426</v>
      </c>
      <c r="CK22" s="173">
        <v>38256.5</v>
      </c>
      <c r="CL22" s="171">
        <f t="shared" si="42"/>
        <v>38256.5</v>
      </c>
      <c r="CM22" s="173">
        <v>43336.37154</v>
      </c>
      <c r="CN22" s="171">
        <f t="shared" si="43"/>
        <v>43336.37154</v>
      </c>
      <c r="CO22" s="173">
        <v>31357.452799999999</v>
      </c>
      <c r="CP22" s="171">
        <f t="shared" si="44"/>
        <v>31357.452799999999</v>
      </c>
      <c r="CQ22" s="171">
        <f t="shared" si="10"/>
        <v>81.966339837674639</v>
      </c>
      <c r="CR22" s="171">
        <f t="shared" si="45"/>
        <v>-11978.918740000001</v>
      </c>
      <c r="CS22" s="171">
        <f t="shared" si="46"/>
        <v>-27.64172060169669</v>
      </c>
      <c r="CT22" s="171">
        <v>32155.582989999999</v>
      </c>
      <c r="CU22" s="173">
        <v>36388.18737</v>
      </c>
      <c r="CV22" s="171">
        <f t="shared" si="47"/>
        <v>36388.18737</v>
      </c>
      <c r="CW22" s="173">
        <v>34191.628960000002</v>
      </c>
      <c r="CX22" s="171">
        <f t="shared" ref="CX22" si="126">(CW22)</f>
        <v>34191.628960000002</v>
      </c>
      <c r="CY22" s="171">
        <f t="shared" si="11"/>
        <v>93.9635399046809</v>
      </c>
      <c r="CZ22" s="171">
        <f t="shared" si="49"/>
        <v>6.3318583607493224</v>
      </c>
      <c r="DA22" s="171">
        <v>49106.563670000003</v>
      </c>
      <c r="DB22" s="171">
        <v>6892.4620999999997</v>
      </c>
      <c r="DC22" s="173">
        <v>41086.16979</v>
      </c>
      <c r="DD22" s="171">
        <f t="shared" si="50"/>
        <v>41086.16979</v>
      </c>
      <c r="DE22" s="173">
        <v>8414.49964</v>
      </c>
      <c r="DF22" s="171">
        <f t="shared" si="51"/>
        <v>8414.49964</v>
      </c>
      <c r="DG22" s="171">
        <f t="shared" si="12"/>
        <v>-8020.3938800000033</v>
      </c>
      <c r="DH22" s="171">
        <f t="shared" si="13"/>
        <v>1522.0375400000003</v>
      </c>
      <c r="DI22" s="171">
        <v>72200</v>
      </c>
      <c r="DJ22" s="171">
        <v>86200</v>
      </c>
      <c r="DK22" s="171">
        <f t="shared" si="52"/>
        <v>14000</v>
      </c>
      <c r="DL22" s="170">
        <v>0</v>
      </c>
      <c r="DM22" s="170">
        <v>1079594.68958</v>
      </c>
      <c r="DN22" s="170">
        <v>99810.402319999994</v>
      </c>
      <c r="DO22" s="170">
        <v>43434.76008</v>
      </c>
      <c r="DP22" s="171">
        <f t="shared" si="53"/>
        <v>1222839.8519799998</v>
      </c>
      <c r="DQ22" s="170">
        <v>0</v>
      </c>
      <c r="DR22" s="170">
        <v>1027959.55264</v>
      </c>
      <c r="DS22" s="170">
        <v>92809.919500000004</v>
      </c>
      <c r="DT22" s="170">
        <v>43542.61853</v>
      </c>
      <c r="DU22" s="171">
        <f t="shared" si="54"/>
        <v>1164312.0906700001</v>
      </c>
      <c r="DV22" s="174">
        <f t="shared" si="14"/>
        <v>1068315.0235999997</v>
      </c>
      <c r="DW22" s="174">
        <f t="shared" si="15"/>
        <v>1019647.5207700001</v>
      </c>
      <c r="DX22" s="171">
        <f t="shared" si="55"/>
        <v>95.444461441158026</v>
      </c>
      <c r="DY22" s="170">
        <v>230207</v>
      </c>
      <c r="DZ22" s="171">
        <f t="shared" si="56"/>
        <v>230207</v>
      </c>
      <c r="EA22" s="171">
        <v>35</v>
      </c>
      <c r="EB22" s="171">
        <f t="shared" si="57"/>
        <v>657734.28571428568</v>
      </c>
      <c r="EC22" s="171">
        <f t="shared" si="58"/>
        <v>230206.99999999997</v>
      </c>
      <c r="ED22" s="171">
        <f t="shared" si="59"/>
        <v>0</v>
      </c>
      <c r="EE22" s="170">
        <v>232147.3818</v>
      </c>
      <c r="EF22" s="171">
        <f t="shared" si="60"/>
        <v>232147.3818</v>
      </c>
      <c r="EG22" s="171">
        <f t="shared" si="61"/>
        <v>663278.23371428566</v>
      </c>
      <c r="EH22" s="171">
        <f t="shared" si="62"/>
        <v>232147.38179999997</v>
      </c>
      <c r="EI22" s="171">
        <f t="shared" si="63"/>
        <v>0</v>
      </c>
      <c r="EJ22" s="173">
        <v>24491.585859999999</v>
      </c>
      <c r="EK22" s="171">
        <f t="shared" si="64"/>
        <v>24491.585859999999</v>
      </c>
      <c r="EL22" s="171">
        <v>20030</v>
      </c>
      <c r="EM22" s="171">
        <v>20918.129280000001</v>
      </c>
      <c r="EN22" s="171">
        <f t="shared" si="16"/>
        <v>-3573.4565799999982</v>
      </c>
      <c r="EO22" s="171">
        <f t="shared" si="65"/>
        <v>-14.590547955639806</v>
      </c>
      <c r="EV22" s="173">
        <v>149.99836999999999</v>
      </c>
      <c r="EW22" s="171">
        <f t="shared" si="66"/>
        <v>149.99836999999999</v>
      </c>
      <c r="EX22" s="313">
        <v>100</v>
      </c>
      <c r="EY22" s="171">
        <v>37.266570000000002</v>
      </c>
      <c r="EZ22" s="171">
        <f t="shared" si="17"/>
        <v>-112.73179999999999</v>
      </c>
      <c r="FA22" s="171">
        <f t="shared" si="67"/>
        <v>-75.155350021470241</v>
      </c>
      <c r="FB22" s="173">
        <v>181.15724</v>
      </c>
      <c r="FC22" s="171">
        <f t="shared" si="68"/>
        <v>181.15724</v>
      </c>
      <c r="FD22" s="171">
        <v>26</v>
      </c>
      <c r="FE22" s="171">
        <v>27.338999999999999</v>
      </c>
      <c r="FF22" s="171">
        <f t="shared" si="69"/>
        <v>-153.81824</v>
      </c>
      <c r="FG22" s="171">
        <f t="shared" si="70"/>
        <v>-84.908690373070385</v>
      </c>
      <c r="FH22" s="171">
        <v>73038.367790000048</v>
      </c>
      <c r="FI22" s="171">
        <v>41232.15438</v>
      </c>
      <c r="FJ22" s="171">
        <v>77308.817289999686</v>
      </c>
      <c r="FK22" s="171">
        <v>38452.333250000003</v>
      </c>
      <c r="FL22" s="171">
        <f t="shared" si="71"/>
        <v>4270.4494999996386</v>
      </c>
      <c r="FM22" s="171">
        <f t="shared" si="72"/>
        <v>-2779.8211299999966</v>
      </c>
      <c r="FN22" s="171">
        <v>12802.26461</v>
      </c>
      <c r="FO22" s="171">
        <v>12802.26461</v>
      </c>
      <c r="FP22" s="171">
        <v>11546.301520000001</v>
      </c>
      <c r="FQ22" s="171">
        <v>10894.895350000001</v>
      </c>
      <c r="FR22" s="171">
        <f t="shared" si="73"/>
        <v>-1255.9630899999993</v>
      </c>
      <c r="FS22" s="171">
        <f t="shared" si="74"/>
        <v>-1907.3692599999995</v>
      </c>
      <c r="FT22" s="171">
        <v>15860.802250000001</v>
      </c>
      <c r="FU22" s="171">
        <v>12646.561600000001</v>
      </c>
      <c r="FV22" s="171">
        <v>15191.554829999999</v>
      </c>
      <c r="FW22" s="171">
        <v>11584.12846</v>
      </c>
      <c r="FX22" s="171">
        <f t="shared" si="75"/>
        <v>-669.24742000000151</v>
      </c>
      <c r="FY22" s="171">
        <f t="shared" si="76"/>
        <v>-1062.433140000001</v>
      </c>
      <c r="FZ22" s="171">
        <v>16942.70249</v>
      </c>
      <c r="GA22" s="171">
        <v>15003.379580000001</v>
      </c>
      <c r="GB22" s="171">
        <v>16957.869309999998</v>
      </c>
      <c r="GC22" s="171">
        <v>14675.496709999999</v>
      </c>
      <c r="GD22" s="171">
        <f t="shared" si="77"/>
        <v>15.166819999998552</v>
      </c>
      <c r="GE22" s="171">
        <f t="shared" si="78"/>
        <v>-327.88287000000128</v>
      </c>
      <c r="GJ22" s="171">
        <f t="shared" si="79"/>
        <v>0</v>
      </c>
      <c r="GK22" s="171">
        <f t="shared" si="80"/>
        <v>0</v>
      </c>
      <c r="GL22" s="171">
        <v>246.76782</v>
      </c>
      <c r="GM22" s="171">
        <v>246.76782</v>
      </c>
      <c r="GN22" s="171">
        <v>372.14220999999998</v>
      </c>
      <c r="GO22" s="171">
        <v>372.14220999999998</v>
      </c>
      <c r="GP22" s="171">
        <f t="shared" si="81"/>
        <v>125.37438999999998</v>
      </c>
      <c r="GQ22" s="171">
        <f t="shared" si="82"/>
        <v>125.37438999999998</v>
      </c>
      <c r="GV22" s="171">
        <f t="shared" si="83"/>
        <v>0</v>
      </c>
      <c r="GW22" s="171">
        <f t="shared" si="84"/>
        <v>0</v>
      </c>
      <c r="HB22" s="171">
        <f t="shared" si="85"/>
        <v>0</v>
      </c>
      <c r="HC22" s="171">
        <f t="shared" si="86"/>
        <v>0</v>
      </c>
      <c r="HH22" s="171">
        <f t="shared" si="87"/>
        <v>0</v>
      </c>
      <c r="HI22" s="171">
        <f t="shared" si="88"/>
        <v>0</v>
      </c>
      <c r="HN22" s="171">
        <f t="shared" si="89"/>
        <v>0</v>
      </c>
      <c r="HO22" s="171">
        <f t="shared" si="90"/>
        <v>0</v>
      </c>
      <c r="HP22" s="171">
        <v>1330.4467299999999</v>
      </c>
      <c r="HQ22" s="171">
        <v>459.99734999999998</v>
      </c>
      <c r="HR22" s="171">
        <v>1280.37718</v>
      </c>
      <c r="HS22" s="171">
        <v>853.01206000000002</v>
      </c>
      <c r="HT22" s="171">
        <f t="shared" si="91"/>
        <v>-50.069549999999936</v>
      </c>
      <c r="HU22" s="171">
        <f t="shared" si="92"/>
        <v>393.01471000000004</v>
      </c>
      <c r="HV22" s="171">
        <v>0</v>
      </c>
      <c r="HW22" s="171">
        <v>0</v>
      </c>
      <c r="HX22" s="171">
        <v>0</v>
      </c>
      <c r="HY22" s="171">
        <v>0</v>
      </c>
      <c r="HZ22" s="171">
        <f t="shared" si="93"/>
        <v>0</v>
      </c>
      <c r="IA22" s="171">
        <f t="shared" si="94"/>
        <v>0</v>
      </c>
      <c r="IB22" s="171">
        <v>0</v>
      </c>
      <c r="IC22" s="171">
        <v>0</v>
      </c>
      <c r="ID22" s="171">
        <v>0</v>
      </c>
      <c r="IE22" s="171">
        <v>0</v>
      </c>
      <c r="IF22" s="171">
        <f t="shared" si="95"/>
        <v>0</v>
      </c>
      <c r="IG22" s="171">
        <f t="shared" si="96"/>
        <v>0</v>
      </c>
      <c r="IH22" s="171">
        <v>24091.201799999999</v>
      </c>
      <c r="II22" s="171">
        <v>0</v>
      </c>
      <c r="IJ22" s="171">
        <v>24091.201799999999</v>
      </c>
      <c r="IK22" s="171">
        <v>0</v>
      </c>
      <c r="IL22" s="171">
        <f t="shared" si="97"/>
        <v>0</v>
      </c>
      <c r="IM22" s="171">
        <f t="shared" si="98"/>
        <v>0</v>
      </c>
      <c r="IN22" s="171">
        <v>0</v>
      </c>
      <c r="IO22" s="171">
        <v>0</v>
      </c>
      <c r="IP22" s="171">
        <v>0</v>
      </c>
      <c r="IQ22" s="171">
        <v>0</v>
      </c>
      <c r="IR22" s="171">
        <f t="shared" si="99"/>
        <v>0</v>
      </c>
      <c r="IS22" s="171">
        <f t="shared" si="100"/>
        <v>0</v>
      </c>
      <c r="IT22" s="171">
        <v>105920.44163</v>
      </c>
      <c r="IU22" s="171">
        <v>11609.995849999999</v>
      </c>
      <c r="IV22" s="171">
        <v>98743.194730000003</v>
      </c>
      <c r="IW22" s="171">
        <v>7451.6330500000004</v>
      </c>
      <c r="IX22" s="171">
        <f t="shared" si="101"/>
        <v>-7177.2468999999983</v>
      </c>
      <c r="IY22" s="171">
        <f t="shared" si="102"/>
        <v>-4158.362799999999</v>
      </c>
      <c r="JB22" s="171">
        <f t="shared" si="103"/>
        <v>0</v>
      </c>
      <c r="JE22" s="171">
        <f t="shared" si="104"/>
        <v>0</v>
      </c>
      <c r="JF22" s="171">
        <v>6540.4494500000001</v>
      </c>
      <c r="JG22" s="171">
        <v>2179.7215299999998</v>
      </c>
      <c r="JH22" s="171">
        <f t="shared" si="105"/>
        <v>-4360.7279200000003</v>
      </c>
      <c r="JI22" s="171">
        <v>349.21649000000002</v>
      </c>
      <c r="JJ22" s="171">
        <v>349.21649000000002</v>
      </c>
      <c r="JK22" s="171">
        <f t="shared" si="106"/>
        <v>0</v>
      </c>
      <c r="JL22" s="171">
        <v>0</v>
      </c>
      <c r="JM22" s="171">
        <v>0</v>
      </c>
      <c r="JN22" s="171">
        <f t="shared" si="107"/>
        <v>0</v>
      </c>
      <c r="JO22" s="171">
        <v>2</v>
      </c>
      <c r="JP22" s="171">
        <v>2</v>
      </c>
      <c r="JQ22" s="171">
        <f t="shared" si="108"/>
        <v>0</v>
      </c>
      <c r="JR22" s="171">
        <v>4438.2950300000002</v>
      </c>
      <c r="JS22" s="171">
        <v>4920.6950299999999</v>
      </c>
      <c r="JT22" s="171">
        <f t="shared" si="109"/>
        <v>482.39999999999964</v>
      </c>
      <c r="JU22" s="171">
        <v>265.10883000000001</v>
      </c>
      <c r="JV22" s="171">
        <v>0</v>
      </c>
      <c r="JW22" s="171">
        <f t="shared" si="110"/>
        <v>-265.10883000000001</v>
      </c>
      <c r="JX22" s="171">
        <v>0</v>
      </c>
      <c r="JY22" s="171">
        <v>0</v>
      </c>
      <c r="JZ22" s="171">
        <f t="shared" si="111"/>
        <v>0</v>
      </c>
      <c r="KA22" s="171">
        <v>31071.859479999999</v>
      </c>
      <c r="KC22" s="171">
        <v>16744.971160000001</v>
      </c>
      <c r="KE22" s="171">
        <f t="shared" si="112"/>
        <v>-14326.888319999998</v>
      </c>
      <c r="KF22" s="171">
        <f t="shared" si="113"/>
        <v>0</v>
      </c>
    </row>
    <row r="23" spans="1:293" s="171" customFormat="1" x14ac:dyDescent="0.25">
      <c r="A23" s="169" t="s">
        <v>167</v>
      </c>
      <c r="B23" s="170">
        <v>0</v>
      </c>
      <c r="C23" s="170">
        <v>1458410.3866300001</v>
      </c>
      <c r="D23" s="170">
        <v>0</v>
      </c>
      <c r="E23" s="170">
        <v>302854.60223999998</v>
      </c>
      <c r="F23" s="171">
        <f t="shared" si="19"/>
        <v>1761264.98887</v>
      </c>
      <c r="G23" s="170">
        <v>0</v>
      </c>
      <c r="H23" s="170">
        <v>1453455.73707</v>
      </c>
      <c r="I23" s="170">
        <v>0</v>
      </c>
      <c r="J23" s="170">
        <v>298515.28628</v>
      </c>
      <c r="K23" s="171">
        <f t="shared" si="20"/>
        <v>1751971.0233499999</v>
      </c>
      <c r="L23" s="170">
        <v>187266.87922999999</v>
      </c>
      <c r="M23" s="170">
        <v>0</v>
      </c>
      <c r="N23" s="170">
        <v>512</v>
      </c>
      <c r="O23" s="171">
        <f t="shared" si="21"/>
        <v>187778.87922999999</v>
      </c>
      <c r="P23" s="170">
        <v>181887.55897000001</v>
      </c>
      <c r="Q23" s="170">
        <v>0</v>
      </c>
      <c r="R23" s="170">
        <v>512</v>
      </c>
      <c r="S23" s="171">
        <f t="shared" si="22"/>
        <v>182399.55897000001</v>
      </c>
      <c r="T23" s="170">
        <v>0</v>
      </c>
      <c r="U23" s="170">
        <v>1492743.3416899999</v>
      </c>
      <c r="V23" s="170">
        <v>0</v>
      </c>
      <c r="W23" s="170">
        <v>312780.91304000001</v>
      </c>
      <c r="X23" s="171">
        <f t="shared" si="23"/>
        <v>1805524.2547299999</v>
      </c>
      <c r="Y23" s="170">
        <v>0</v>
      </c>
      <c r="Z23" s="170">
        <v>1468215.0917199999</v>
      </c>
      <c r="AA23" s="170">
        <v>0</v>
      </c>
      <c r="AB23" s="170">
        <v>294244.00751000002</v>
      </c>
      <c r="AC23" s="171">
        <f t="shared" si="24"/>
        <v>1762459.0992299998</v>
      </c>
      <c r="AD23" s="171">
        <f t="shared" si="25"/>
        <v>1573486.1096399999</v>
      </c>
      <c r="AE23" s="171">
        <f t="shared" si="0"/>
        <v>1569571.4643799998</v>
      </c>
      <c r="AF23" s="171">
        <f t="shared" si="26"/>
        <v>99.751211959481751</v>
      </c>
      <c r="AG23" s="172">
        <v>1573486</v>
      </c>
      <c r="AH23" s="172">
        <f t="shared" si="27"/>
        <v>-0.10963999992236495</v>
      </c>
      <c r="AI23" s="172">
        <v>1569571</v>
      </c>
      <c r="AJ23" s="172">
        <f t="shared" si="28"/>
        <v>-0.46437999978661537</v>
      </c>
      <c r="AK23" s="171">
        <f t="shared" si="1"/>
        <v>1617745.3754999998</v>
      </c>
      <c r="AL23" s="171">
        <f t="shared" si="2"/>
        <v>1580059.5402599997</v>
      </c>
      <c r="AM23" s="171">
        <f t="shared" si="29"/>
        <v>97.670471768256334</v>
      </c>
      <c r="AN23" s="173">
        <v>0</v>
      </c>
      <c r="AO23" s="173">
        <v>-46354.024640000003</v>
      </c>
      <c r="AP23" s="173">
        <v>0</v>
      </c>
      <c r="AQ23" s="173">
        <v>-9926.3107999999993</v>
      </c>
      <c r="AR23" s="171">
        <f t="shared" si="30"/>
        <v>-56280.335440000003</v>
      </c>
      <c r="AS23" s="173">
        <v>0</v>
      </c>
      <c r="AT23" s="173">
        <v>-14759.354649999999</v>
      </c>
      <c r="AU23" s="173">
        <v>0</v>
      </c>
      <c r="AV23" s="173">
        <v>4271.2787699999999</v>
      </c>
      <c r="AW23" s="171">
        <f t="shared" si="31"/>
        <v>-10488.07588</v>
      </c>
      <c r="AX23" s="170">
        <v>0</v>
      </c>
      <c r="AY23" s="170">
        <v>1112556.2611400001</v>
      </c>
      <c r="AZ23" s="170">
        <v>0</v>
      </c>
      <c r="BA23" s="170">
        <v>187266.87922999999</v>
      </c>
      <c r="BB23" s="312">
        <f t="shared" si="32"/>
        <v>0</v>
      </c>
      <c r="BC23" s="171">
        <f t="shared" si="33"/>
        <v>1299823.1403700002</v>
      </c>
      <c r="BD23" s="170">
        <v>0</v>
      </c>
      <c r="BE23" s="170">
        <v>1097405.18408</v>
      </c>
      <c r="BF23" s="170">
        <v>0</v>
      </c>
      <c r="BG23" s="170">
        <v>181887.55897000001</v>
      </c>
      <c r="BH23" s="312">
        <f t="shared" si="3"/>
        <v>0</v>
      </c>
      <c r="BI23" s="171">
        <f t="shared" si="34"/>
        <v>1279292.7430500002</v>
      </c>
      <c r="BJ23" s="171">
        <f t="shared" si="4"/>
        <v>1112044.2611400001</v>
      </c>
      <c r="BK23" s="171">
        <f t="shared" si="5"/>
        <v>1096893.18408</v>
      </c>
      <c r="BL23" s="171">
        <f t="shared" si="35"/>
        <v>98.637547300098632</v>
      </c>
      <c r="BM23" s="170">
        <v>0</v>
      </c>
      <c r="BN23" s="170">
        <v>340355.24515999999</v>
      </c>
      <c r="BO23" s="170">
        <v>0</v>
      </c>
      <c r="BP23" s="170">
        <v>113454.5077</v>
      </c>
      <c r="BQ23" s="171">
        <f t="shared" si="36"/>
        <v>453809.75286000001</v>
      </c>
      <c r="BR23" s="171">
        <f t="shared" si="6"/>
        <v>453809.75286000001</v>
      </c>
      <c r="BS23" s="170">
        <v>0</v>
      </c>
      <c r="BT23" s="170">
        <v>349763.16725</v>
      </c>
      <c r="BU23" s="170">
        <v>0</v>
      </c>
      <c r="BV23" s="170">
        <v>114494.512</v>
      </c>
      <c r="BW23" s="171">
        <f t="shared" si="37"/>
        <v>464257.67924999999</v>
      </c>
      <c r="BX23" s="171">
        <f t="shared" si="7"/>
        <v>464257.67924999999</v>
      </c>
      <c r="BY23" s="171">
        <v>22281.3017</v>
      </c>
      <c r="BZ23" s="173">
        <v>6173.3504199999998</v>
      </c>
      <c r="CA23" s="171">
        <f t="shared" si="38"/>
        <v>6173.3504199999998</v>
      </c>
      <c r="CB23" s="173">
        <v>6132.9966899999999</v>
      </c>
      <c r="CC23" s="171">
        <f t="shared" si="38"/>
        <v>6132.9966899999999</v>
      </c>
      <c r="CD23" s="171">
        <f t="shared" si="8"/>
        <v>99.346323677508011</v>
      </c>
      <c r="CE23" s="171">
        <f t="shared" si="39"/>
        <v>-72.474693029267684</v>
      </c>
      <c r="CF23" s="173">
        <v>20175.666590000001</v>
      </c>
      <c r="CG23" s="171">
        <f t="shared" si="40"/>
        <v>20175.666590000001</v>
      </c>
      <c r="CH23" s="269">
        <v>22620.933949999999</v>
      </c>
      <c r="CI23" s="171">
        <f t="shared" si="41"/>
        <v>22620.933949999999</v>
      </c>
      <c r="CJ23" s="171">
        <f t="shared" si="9"/>
        <v>112.1198838664988</v>
      </c>
      <c r="CK23" s="173">
        <v>47447.147380000002</v>
      </c>
      <c r="CL23" s="171">
        <f t="shared" si="42"/>
        <v>47447.147380000002</v>
      </c>
      <c r="CM23" s="173">
        <v>41555.092219999999</v>
      </c>
      <c r="CN23" s="171">
        <f t="shared" si="43"/>
        <v>41555.092219999999</v>
      </c>
      <c r="CO23" s="173">
        <v>48647.12182</v>
      </c>
      <c r="CP23" s="171">
        <f t="shared" si="44"/>
        <v>48647.12182</v>
      </c>
      <c r="CQ23" s="171">
        <f t="shared" si="10"/>
        <v>102.52907604832281</v>
      </c>
      <c r="CR23" s="171">
        <f t="shared" si="45"/>
        <v>7092.0296000000017</v>
      </c>
      <c r="CS23" s="171">
        <f t="shared" si="46"/>
        <v>17.066571678997946</v>
      </c>
      <c r="CT23" s="171">
        <v>33480.992839999999</v>
      </c>
      <c r="CU23" s="173">
        <f>36896.59784+0.14208</f>
        <v>36896.73992</v>
      </c>
      <c r="CV23" s="171">
        <f t="shared" si="47"/>
        <v>36896.73992</v>
      </c>
      <c r="CW23" s="173">
        <f>37715.87657+0.14208</f>
        <v>37716.018649999998</v>
      </c>
      <c r="CX23" s="171">
        <f t="shared" ref="CX23" si="127">(CW23)</f>
        <v>37716.018649999998</v>
      </c>
      <c r="CY23" s="171">
        <f t="shared" si="11"/>
        <v>102.22046373684063</v>
      </c>
      <c r="CZ23" s="171">
        <f t="shared" si="49"/>
        <v>12.649044878204393</v>
      </c>
      <c r="DA23" s="171">
        <v>43439.694949999997</v>
      </c>
      <c r="DB23" s="171">
        <v>4050.2033499999998</v>
      </c>
      <c r="DC23" s="173">
        <v>46251.619070000001</v>
      </c>
      <c r="DD23" s="171">
        <f t="shared" si="50"/>
        <v>46251.619070000001</v>
      </c>
      <c r="DE23" s="173">
        <v>1048.8415199999999</v>
      </c>
      <c r="DF23" s="171">
        <f t="shared" si="51"/>
        <v>1048.8415199999999</v>
      </c>
      <c r="DG23" s="171">
        <f t="shared" si="12"/>
        <v>2811.9241200000033</v>
      </c>
      <c r="DH23" s="171">
        <f t="shared" si="13"/>
        <v>-3001.3618299999998</v>
      </c>
      <c r="DI23" s="171">
        <v>4500</v>
      </c>
      <c r="DJ23" s="171">
        <v>17800</v>
      </c>
      <c r="DK23" s="171">
        <f t="shared" si="52"/>
        <v>13300</v>
      </c>
      <c r="DL23" s="170">
        <v>0</v>
      </c>
      <c r="DM23" s="170">
        <v>1118055.1414699999</v>
      </c>
      <c r="DN23" s="170">
        <v>0</v>
      </c>
      <c r="DO23" s="170">
        <v>189400.09453999999</v>
      </c>
      <c r="DP23" s="171">
        <f t="shared" si="53"/>
        <v>1307455.2360099999</v>
      </c>
      <c r="DQ23" s="170">
        <v>0</v>
      </c>
      <c r="DR23" s="170">
        <v>1103692.5698200001</v>
      </c>
      <c r="DS23" s="170">
        <v>0</v>
      </c>
      <c r="DT23" s="170">
        <v>184020.77428000001</v>
      </c>
      <c r="DU23" s="171">
        <f t="shared" si="54"/>
        <v>1287713.3441000001</v>
      </c>
      <c r="DV23" s="174">
        <f t="shared" si="14"/>
        <v>1119676.3567799998</v>
      </c>
      <c r="DW23" s="174">
        <f t="shared" si="15"/>
        <v>1105313.7851300002</v>
      </c>
      <c r="DX23" s="171">
        <f t="shared" si="55"/>
        <v>98.717256860607108</v>
      </c>
      <c r="DY23" s="170">
        <v>301225.35689</v>
      </c>
      <c r="DZ23" s="171">
        <f t="shared" si="56"/>
        <v>301225.35689</v>
      </c>
      <c r="EA23" s="171">
        <v>35</v>
      </c>
      <c r="EB23" s="171">
        <f t="shared" si="57"/>
        <v>860643.87682857143</v>
      </c>
      <c r="EC23" s="171">
        <f t="shared" si="58"/>
        <v>301225.35689</v>
      </c>
      <c r="ED23" s="171">
        <f t="shared" si="59"/>
        <v>0</v>
      </c>
      <c r="EE23" s="170">
        <v>308469.29074000003</v>
      </c>
      <c r="EF23" s="171">
        <f t="shared" si="60"/>
        <v>308469.29074000003</v>
      </c>
      <c r="EG23" s="171">
        <f t="shared" si="61"/>
        <v>881340.83068571426</v>
      </c>
      <c r="EH23" s="171">
        <f t="shared" si="62"/>
        <v>308469.29073999997</v>
      </c>
      <c r="EI23" s="171">
        <f t="shared" si="63"/>
        <v>0</v>
      </c>
      <c r="EJ23" s="173">
        <v>6023.4714100000001</v>
      </c>
      <c r="EK23" s="171">
        <f t="shared" si="64"/>
        <v>6023.4714100000001</v>
      </c>
      <c r="EL23" s="171">
        <v>5593.0682399999996</v>
      </c>
      <c r="EM23" s="171">
        <v>5572.1419699999997</v>
      </c>
      <c r="EN23" s="171">
        <f t="shared" si="16"/>
        <v>-451.32944000000043</v>
      </c>
      <c r="EO23" s="171">
        <f t="shared" si="65"/>
        <v>-7.4928460563573935</v>
      </c>
      <c r="EV23" s="173">
        <v>15726.1345</v>
      </c>
      <c r="EW23" s="171">
        <f t="shared" si="66"/>
        <v>15726.1345</v>
      </c>
      <c r="EX23" s="313">
        <v>109.28218</v>
      </c>
      <c r="EY23" s="171">
        <v>97.438999999999993</v>
      </c>
      <c r="EZ23" s="171">
        <f t="shared" si="17"/>
        <v>-15628.6955</v>
      </c>
      <c r="FA23" s="171">
        <f t="shared" si="67"/>
        <v>-99.380400822592478</v>
      </c>
      <c r="FB23" s="173">
        <v>531.69578999999999</v>
      </c>
      <c r="FC23" s="171">
        <f t="shared" si="68"/>
        <v>531.69578999999999</v>
      </c>
      <c r="FD23" s="171">
        <v>471</v>
      </c>
      <c r="FE23" s="171">
        <v>463.41572000000002</v>
      </c>
      <c r="FF23" s="171">
        <f t="shared" si="69"/>
        <v>-68.280069999999967</v>
      </c>
      <c r="FG23" s="171">
        <f t="shared" si="70"/>
        <v>-12.841942946360362</v>
      </c>
      <c r="FH23" s="171">
        <v>74456.218200000003</v>
      </c>
      <c r="FI23" s="171">
        <v>22827.812860000002</v>
      </c>
      <c r="FJ23" s="171">
        <v>68474.080990000162</v>
      </c>
      <c r="FK23" s="171">
        <v>15806.032279999999</v>
      </c>
      <c r="FL23" s="171">
        <f t="shared" si="71"/>
        <v>-5982.1372099998407</v>
      </c>
      <c r="FM23" s="171">
        <f t="shared" si="72"/>
        <v>-7021.7805800000024</v>
      </c>
      <c r="FN23" s="171">
        <v>15438.938899999999</v>
      </c>
      <c r="FO23" s="171">
        <v>14465.54844</v>
      </c>
      <c r="FP23" s="171">
        <v>12248.14287</v>
      </c>
      <c r="FQ23" s="171">
        <v>9385.55494</v>
      </c>
      <c r="FR23" s="171">
        <f t="shared" si="73"/>
        <v>-3190.7960299999995</v>
      </c>
      <c r="FS23" s="171">
        <f t="shared" si="74"/>
        <v>-5079.9935000000005</v>
      </c>
      <c r="FT23" s="171">
        <v>5591.9289799999997</v>
      </c>
      <c r="FU23" s="171">
        <v>3950.3266800000001</v>
      </c>
      <c r="FV23" s="171">
        <v>3668.8250800000001</v>
      </c>
      <c r="FW23" s="171">
        <v>2487.2362699999999</v>
      </c>
      <c r="FX23" s="171">
        <f t="shared" si="75"/>
        <v>-1923.1038999999996</v>
      </c>
      <c r="FY23" s="171">
        <f t="shared" si="76"/>
        <v>-1463.0904100000002</v>
      </c>
      <c r="FZ23" s="171">
        <v>4075.0094100000001</v>
      </c>
      <c r="GA23" s="171">
        <v>4075.0094100000001</v>
      </c>
      <c r="GB23" s="171">
        <v>3107.55728</v>
      </c>
      <c r="GC23" s="171">
        <v>3107.55728</v>
      </c>
      <c r="GD23" s="171">
        <f t="shared" si="77"/>
        <v>-967.45213000000012</v>
      </c>
      <c r="GE23" s="171">
        <f t="shared" si="78"/>
        <v>-967.45213000000012</v>
      </c>
      <c r="GJ23" s="171">
        <f t="shared" si="79"/>
        <v>0</v>
      </c>
      <c r="GK23" s="171">
        <f t="shared" si="80"/>
        <v>0</v>
      </c>
      <c r="GL23" s="171">
        <v>448.71208000000001</v>
      </c>
      <c r="GM23" s="171">
        <v>306.92833000000002</v>
      </c>
      <c r="GN23" s="171">
        <v>763.30057999999997</v>
      </c>
      <c r="GO23" s="171">
        <v>735.56038999999998</v>
      </c>
      <c r="GP23" s="171">
        <f t="shared" si="81"/>
        <v>314.58849999999995</v>
      </c>
      <c r="GQ23" s="171">
        <f t="shared" si="82"/>
        <v>428.63205999999997</v>
      </c>
      <c r="GV23" s="171">
        <f t="shared" si="83"/>
        <v>0</v>
      </c>
      <c r="GW23" s="171">
        <f t="shared" si="84"/>
        <v>0</v>
      </c>
      <c r="HB23" s="171">
        <f t="shared" si="85"/>
        <v>0</v>
      </c>
      <c r="HC23" s="171">
        <f t="shared" si="86"/>
        <v>0</v>
      </c>
      <c r="HH23" s="171">
        <f t="shared" si="87"/>
        <v>0</v>
      </c>
      <c r="HI23" s="171">
        <f t="shared" si="88"/>
        <v>0</v>
      </c>
      <c r="HN23" s="171">
        <f t="shared" si="89"/>
        <v>0</v>
      </c>
      <c r="HO23" s="171">
        <f t="shared" si="90"/>
        <v>0</v>
      </c>
      <c r="HP23" s="171">
        <v>33.033999999999999</v>
      </c>
      <c r="HQ23" s="171">
        <v>20</v>
      </c>
      <c r="HR23" s="171">
        <v>675.53210000000001</v>
      </c>
      <c r="HS23" s="171">
        <v>69.034000000000006</v>
      </c>
      <c r="HT23" s="171">
        <f t="shared" si="91"/>
        <v>642.49810000000002</v>
      </c>
      <c r="HU23" s="171">
        <f t="shared" si="92"/>
        <v>49.034000000000006</v>
      </c>
      <c r="HV23" s="171">
        <v>363.334</v>
      </c>
      <c r="HW23" s="171">
        <v>0</v>
      </c>
      <c r="HX23" s="171">
        <v>0</v>
      </c>
      <c r="HY23" s="171">
        <v>0</v>
      </c>
      <c r="HZ23" s="171">
        <f t="shared" si="93"/>
        <v>-363.334</v>
      </c>
      <c r="IA23" s="171">
        <f t="shared" si="94"/>
        <v>0</v>
      </c>
      <c r="IB23" s="171">
        <v>0</v>
      </c>
      <c r="IC23" s="171">
        <v>0</v>
      </c>
      <c r="ID23" s="171">
        <v>21.089400000000001</v>
      </c>
      <c r="IE23" s="171">
        <v>21.089400000000001</v>
      </c>
      <c r="IF23" s="171">
        <f t="shared" si="95"/>
        <v>21.089400000000001</v>
      </c>
      <c r="IG23" s="171">
        <f t="shared" si="96"/>
        <v>21.089400000000001</v>
      </c>
      <c r="IH23" s="171">
        <v>22037.232629999999</v>
      </c>
      <c r="II23" s="171">
        <v>0</v>
      </c>
      <c r="IJ23" s="171">
        <v>22033.212630000002</v>
      </c>
      <c r="IK23" s="171">
        <v>0</v>
      </c>
      <c r="IL23" s="171">
        <f t="shared" si="97"/>
        <v>-4.0199999999967986</v>
      </c>
      <c r="IM23" s="171">
        <f t="shared" si="98"/>
        <v>0</v>
      </c>
      <c r="IN23" s="171">
        <v>0</v>
      </c>
      <c r="IO23" s="171">
        <v>0</v>
      </c>
      <c r="IP23" s="171">
        <v>0</v>
      </c>
      <c r="IQ23" s="171">
        <v>0</v>
      </c>
      <c r="IR23" s="171">
        <f t="shared" si="99"/>
        <v>0</v>
      </c>
      <c r="IS23" s="171">
        <f t="shared" si="100"/>
        <v>0</v>
      </c>
      <c r="IT23" s="171">
        <v>29191.484960000002</v>
      </c>
      <c r="IU23" s="171">
        <v>3638.9629199999999</v>
      </c>
      <c r="IV23" s="171">
        <v>24123.336460000002</v>
      </c>
      <c r="IW23" s="171">
        <v>3638.9629199999999</v>
      </c>
      <c r="IX23" s="171">
        <f t="shared" si="101"/>
        <v>-5068.1484999999993</v>
      </c>
      <c r="IY23" s="171">
        <f t="shared" si="102"/>
        <v>0</v>
      </c>
      <c r="JB23" s="171">
        <f t="shared" si="103"/>
        <v>0</v>
      </c>
      <c r="JE23" s="171">
        <f t="shared" si="104"/>
        <v>0</v>
      </c>
      <c r="JF23" s="171">
        <v>0</v>
      </c>
      <c r="JG23" s="171">
        <v>0</v>
      </c>
      <c r="JH23" s="171">
        <f t="shared" si="105"/>
        <v>0</v>
      </c>
      <c r="JI23" s="171">
        <v>0</v>
      </c>
      <c r="JJ23" s="171">
        <v>0</v>
      </c>
      <c r="JK23" s="171">
        <f t="shared" si="106"/>
        <v>0</v>
      </c>
      <c r="JL23" s="171">
        <v>0</v>
      </c>
      <c r="JM23" s="171">
        <v>0</v>
      </c>
      <c r="JN23" s="171">
        <f t="shared" si="107"/>
        <v>0</v>
      </c>
      <c r="JO23" s="171">
        <v>0</v>
      </c>
      <c r="JP23" s="171">
        <v>0</v>
      </c>
      <c r="JQ23" s="171">
        <f t="shared" si="108"/>
        <v>0</v>
      </c>
      <c r="JR23" s="171">
        <v>3638.9629199999999</v>
      </c>
      <c r="JS23" s="171">
        <v>3638.9629199999999</v>
      </c>
      <c r="JT23" s="171">
        <f t="shared" si="109"/>
        <v>0</v>
      </c>
      <c r="JU23" s="171">
        <v>0</v>
      </c>
      <c r="JV23" s="171">
        <v>0</v>
      </c>
      <c r="JW23" s="171">
        <f t="shared" si="110"/>
        <v>0</v>
      </c>
      <c r="JX23" s="171">
        <v>0</v>
      </c>
      <c r="JY23" s="171">
        <v>0</v>
      </c>
      <c r="JZ23" s="171">
        <f t="shared" si="111"/>
        <v>0</v>
      </c>
      <c r="KA23" s="171">
        <v>19648.083729999998</v>
      </c>
      <c r="KC23" s="171">
        <v>16024.79759</v>
      </c>
      <c r="KE23" s="171">
        <f t="shared" si="112"/>
        <v>-3623.2861399999983</v>
      </c>
      <c r="KF23" s="171">
        <f t="shared" si="113"/>
        <v>0</v>
      </c>
    </row>
    <row r="24" spans="1:293" s="171" customFormat="1" x14ac:dyDescent="0.25">
      <c r="A24" s="169" t="s">
        <v>168</v>
      </c>
      <c r="B24" s="170">
        <v>0</v>
      </c>
      <c r="C24" s="170">
        <v>1726432.4633500001</v>
      </c>
      <c r="D24" s="170">
        <v>380889.26465999999</v>
      </c>
      <c r="E24" s="170">
        <v>92557.257540000006</v>
      </c>
      <c r="F24" s="171">
        <f t="shared" si="19"/>
        <v>2199878.9855500003</v>
      </c>
      <c r="G24" s="170">
        <v>0</v>
      </c>
      <c r="H24" s="170">
        <v>1677543.7487900001</v>
      </c>
      <c r="I24" s="170">
        <v>372046.47602</v>
      </c>
      <c r="J24" s="170">
        <v>91423.698499999999</v>
      </c>
      <c r="K24" s="171">
        <f t="shared" si="20"/>
        <v>2141013.92331</v>
      </c>
      <c r="L24" s="170">
        <v>411897.39068000007</v>
      </c>
      <c r="M24" s="170">
        <v>5104.8807800000004</v>
      </c>
      <c r="N24" s="170">
        <v>838.09295999999995</v>
      </c>
      <c r="O24" s="171">
        <f t="shared" si="21"/>
        <v>417840.36442000006</v>
      </c>
      <c r="P24" s="170">
        <v>402497.41155000008</v>
      </c>
      <c r="Q24" s="170">
        <v>5089.6488500000005</v>
      </c>
      <c r="R24" s="170">
        <v>836.99995999999987</v>
      </c>
      <c r="S24" s="171">
        <f t="shared" si="22"/>
        <v>408424.06036000006</v>
      </c>
      <c r="T24" s="170">
        <v>0</v>
      </c>
      <c r="U24" s="170">
        <v>1755764.7516600001</v>
      </c>
      <c r="V24" s="170">
        <v>398198.95062999998</v>
      </c>
      <c r="W24" s="170">
        <v>100476.70895</v>
      </c>
      <c r="X24" s="171">
        <f t="shared" si="23"/>
        <v>2254440.4112399998</v>
      </c>
      <c r="Y24" s="170">
        <v>0</v>
      </c>
      <c r="Z24" s="170">
        <v>1716281.22425</v>
      </c>
      <c r="AA24" s="170">
        <v>383829.24900000001</v>
      </c>
      <c r="AB24" s="170">
        <v>95223.668579999998</v>
      </c>
      <c r="AC24" s="171">
        <f t="shared" si="24"/>
        <v>2195334.1418299996</v>
      </c>
      <c r="AD24" s="171">
        <f t="shared" si="25"/>
        <v>1782038.6211300003</v>
      </c>
      <c r="AE24" s="171">
        <f t="shared" si="0"/>
        <v>1732589.86295</v>
      </c>
      <c r="AF24" s="171">
        <f t="shared" si="26"/>
        <v>97.225157884140316</v>
      </c>
      <c r="AG24" s="172">
        <v>1782039</v>
      </c>
      <c r="AH24" s="172">
        <f t="shared" si="27"/>
        <v>0.37886999966576695</v>
      </c>
      <c r="AI24" s="172">
        <v>1732590</v>
      </c>
      <c r="AJ24" s="172">
        <f t="shared" si="28"/>
        <v>0.13705000001937151</v>
      </c>
      <c r="AK24" s="171">
        <f t="shared" si="1"/>
        <v>1836600.0468199998</v>
      </c>
      <c r="AL24" s="171">
        <f t="shared" si="2"/>
        <v>1786910.0814699996</v>
      </c>
      <c r="AM24" s="171">
        <f t="shared" si="29"/>
        <v>97.294459104689849</v>
      </c>
      <c r="AN24" s="173">
        <v>0</v>
      </c>
      <c r="AO24" s="173">
        <v>-31231.282609999998</v>
      </c>
      <c r="AP24" s="173">
        <v>-17309.685969999999</v>
      </c>
      <c r="AQ24" s="173">
        <v>-7919.4514099999997</v>
      </c>
      <c r="AR24" s="171">
        <f t="shared" si="30"/>
        <v>-56460.419990000002</v>
      </c>
      <c r="AS24" s="173">
        <v>0</v>
      </c>
      <c r="AT24" s="173">
        <v>-38737.475460000001</v>
      </c>
      <c r="AU24" s="173">
        <v>-11782.77298</v>
      </c>
      <c r="AV24" s="173">
        <v>-3799.9700800000001</v>
      </c>
      <c r="AW24" s="171">
        <f t="shared" si="31"/>
        <v>-54320.218520000002</v>
      </c>
      <c r="AX24" s="170">
        <v>0</v>
      </c>
      <c r="AY24" s="170">
        <v>1453423.9867100001</v>
      </c>
      <c r="AZ24" s="170">
        <v>337461.50797999999</v>
      </c>
      <c r="BA24" s="170">
        <v>74435.882700000002</v>
      </c>
      <c r="BB24" s="312">
        <f t="shared" si="32"/>
        <v>0</v>
      </c>
      <c r="BC24" s="171">
        <f t="shared" si="33"/>
        <v>1865321.37739</v>
      </c>
      <c r="BD24" s="170">
        <v>0</v>
      </c>
      <c r="BE24" s="170">
        <v>1446724.83858</v>
      </c>
      <c r="BF24" s="170">
        <v>329612.65895000001</v>
      </c>
      <c r="BG24" s="170">
        <v>72884.752600000007</v>
      </c>
      <c r="BH24" s="312">
        <f t="shared" si="3"/>
        <v>0</v>
      </c>
      <c r="BI24" s="171">
        <f t="shared" si="34"/>
        <v>1849222.2501300001</v>
      </c>
      <c r="BJ24" s="171">
        <f t="shared" si="4"/>
        <v>1447481.01297</v>
      </c>
      <c r="BK24" s="171">
        <f t="shared" si="5"/>
        <v>1440798.1897700001</v>
      </c>
      <c r="BL24" s="171">
        <f t="shared" si="35"/>
        <v>99.538313584764197</v>
      </c>
      <c r="BM24" s="170">
        <v>0</v>
      </c>
      <c r="BN24" s="170">
        <v>263050.90399999998</v>
      </c>
      <c r="BO24" s="170">
        <v>44134.690049999997</v>
      </c>
      <c r="BP24" s="170">
        <v>22484.768240000001</v>
      </c>
      <c r="BQ24" s="171">
        <f t="shared" si="36"/>
        <v>329670.36228999996</v>
      </c>
      <c r="BR24" s="171">
        <f t="shared" si="6"/>
        <v>329670.36228999996</v>
      </c>
      <c r="BS24" s="170">
        <v>0</v>
      </c>
      <c r="BT24" s="170">
        <v>220861.33757</v>
      </c>
      <c r="BU24" s="170">
        <v>43140.750440000003</v>
      </c>
      <c r="BV24" s="170">
        <v>22863.651300000001</v>
      </c>
      <c r="BW24" s="171">
        <f t="shared" si="37"/>
        <v>286865.73931000003</v>
      </c>
      <c r="BX24" s="171">
        <f t="shared" si="7"/>
        <v>286865.73931000003</v>
      </c>
      <c r="BY24" s="171">
        <v>23556.938989999999</v>
      </c>
      <c r="BZ24" s="173">
        <v>24378.190999999999</v>
      </c>
      <c r="CA24" s="171">
        <f t="shared" si="38"/>
        <v>24378.190999999999</v>
      </c>
      <c r="CB24" s="173">
        <v>19437.432219999999</v>
      </c>
      <c r="CC24" s="171">
        <f t="shared" si="38"/>
        <v>19437.432219999999</v>
      </c>
      <c r="CD24" s="171">
        <f t="shared" si="8"/>
        <v>79.732873616422154</v>
      </c>
      <c r="CE24" s="171">
        <f t="shared" si="39"/>
        <v>-17.487445086769313</v>
      </c>
      <c r="CF24" s="173">
        <v>3275.4443099999999</v>
      </c>
      <c r="CG24" s="171">
        <f t="shared" si="40"/>
        <v>3275.4443099999999</v>
      </c>
      <c r="CH24" s="269">
        <v>7228.48297</v>
      </c>
      <c r="CI24" s="171">
        <f t="shared" si="41"/>
        <v>7228.48297</v>
      </c>
      <c r="CJ24" s="171">
        <f t="shared" si="9"/>
        <v>220.6870972567383</v>
      </c>
      <c r="CK24" s="173">
        <v>22066.01094</v>
      </c>
      <c r="CL24" s="171">
        <f t="shared" si="42"/>
        <v>22066.01094</v>
      </c>
      <c r="CM24" s="173">
        <v>24659.587090000001</v>
      </c>
      <c r="CN24" s="171">
        <f t="shared" si="43"/>
        <v>24659.587090000001</v>
      </c>
      <c r="CO24" s="173">
        <v>21606.38148</v>
      </c>
      <c r="CP24" s="171">
        <f t="shared" si="44"/>
        <v>21606.38148</v>
      </c>
      <c r="CQ24" s="171">
        <f t="shared" si="10"/>
        <v>97.91702514219817</v>
      </c>
      <c r="CR24" s="171">
        <f t="shared" si="45"/>
        <v>-3053.2056100000009</v>
      </c>
      <c r="CS24" s="171">
        <f t="shared" si="46"/>
        <v>-12.3814141690886</v>
      </c>
      <c r="CT24" s="171">
        <v>33653.495170000002</v>
      </c>
      <c r="CU24" s="173">
        <v>28258.289250000002</v>
      </c>
      <c r="CV24" s="171">
        <f t="shared" si="47"/>
        <v>28258.289250000002</v>
      </c>
      <c r="CW24" s="173">
        <v>27140.180820000001</v>
      </c>
      <c r="CX24" s="171">
        <f t="shared" ref="CX24" si="128">(CW24)</f>
        <v>27140.180820000001</v>
      </c>
      <c r="CY24" s="171">
        <f t="shared" si="11"/>
        <v>96.043255060105949</v>
      </c>
      <c r="CZ24" s="171">
        <f t="shared" si="49"/>
        <v>-19.354050202209649</v>
      </c>
      <c r="DA24" s="171">
        <v>110373.24784</v>
      </c>
      <c r="DB24" s="171">
        <v>3634.7705099999998</v>
      </c>
      <c r="DC24" s="173">
        <v>82353.029320000001</v>
      </c>
      <c r="DD24" s="171">
        <f t="shared" si="50"/>
        <v>82353.029320000001</v>
      </c>
      <c r="DE24" s="173">
        <v>3046.53908</v>
      </c>
      <c r="DF24" s="171">
        <f t="shared" si="51"/>
        <v>3046.53908</v>
      </c>
      <c r="DG24" s="171">
        <f t="shared" si="12"/>
        <v>-28020.218519999995</v>
      </c>
      <c r="DH24" s="171">
        <f t="shared" si="13"/>
        <v>-588.23142999999982</v>
      </c>
      <c r="DI24" s="171">
        <v>39000</v>
      </c>
      <c r="DJ24" s="171">
        <v>65300</v>
      </c>
      <c r="DK24" s="171">
        <f t="shared" si="52"/>
        <v>26300</v>
      </c>
      <c r="DL24" s="170">
        <v>0</v>
      </c>
      <c r="DM24" s="170">
        <v>1463381.55935</v>
      </c>
      <c r="DN24" s="170">
        <v>336754.57461000001</v>
      </c>
      <c r="DO24" s="170">
        <v>70072.489300000001</v>
      </c>
      <c r="DP24" s="171">
        <f t="shared" si="53"/>
        <v>1870208.62326</v>
      </c>
      <c r="DQ24" s="170">
        <v>0</v>
      </c>
      <c r="DR24" s="170">
        <v>1456682.4112199999</v>
      </c>
      <c r="DS24" s="170">
        <v>328905.72558000003</v>
      </c>
      <c r="DT24" s="170">
        <v>68560.047200000001</v>
      </c>
      <c r="DU24" s="171">
        <f t="shared" si="54"/>
        <v>1854148.1839999999</v>
      </c>
      <c r="DV24" s="174">
        <f t="shared" si="14"/>
        <v>1452368.25884</v>
      </c>
      <c r="DW24" s="174">
        <f t="shared" si="15"/>
        <v>1445724.1236399999</v>
      </c>
      <c r="DX24" s="171">
        <f t="shared" si="55"/>
        <v>99.542530955247756</v>
      </c>
      <c r="DY24" s="170">
        <v>213975.52512999999</v>
      </c>
      <c r="DZ24" s="171">
        <f t="shared" si="56"/>
        <v>213975.52512999999</v>
      </c>
      <c r="EA24" s="171">
        <v>35</v>
      </c>
      <c r="EB24" s="171">
        <f t="shared" si="57"/>
        <v>611358.6432285714</v>
      </c>
      <c r="EC24" s="171">
        <f t="shared" si="58"/>
        <v>213975.52512999997</v>
      </c>
      <c r="ED24" s="171">
        <f t="shared" si="59"/>
        <v>0</v>
      </c>
      <c r="EE24" s="170">
        <v>177208.67363999999</v>
      </c>
      <c r="EF24" s="171">
        <f t="shared" si="60"/>
        <v>177208.67363999999</v>
      </c>
      <c r="EG24" s="171">
        <f t="shared" si="61"/>
        <v>506310.49611428572</v>
      </c>
      <c r="EH24" s="171">
        <f t="shared" si="62"/>
        <v>177208.67363999999</v>
      </c>
      <c r="EI24" s="171">
        <f t="shared" si="63"/>
        <v>0</v>
      </c>
      <c r="EJ24" s="173">
        <v>23435.854589999999</v>
      </c>
      <c r="EK24" s="171">
        <f t="shared" si="64"/>
        <v>23435.854589999999</v>
      </c>
      <c r="EL24" s="171">
        <v>24251</v>
      </c>
      <c r="EM24" s="171">
        <v>19298.503239999998</v>
      </c>
      <c r="EN24" s="171">
        <f t="shared" si="16"/>
        <v>-4137.3513500000008</v>
      </c>
      <c r="EO24" s="171">
        <f t="shared" si="65"/>
        <v>-17.653938473254541</v>
      </c>
      <c r="EV24" s="173">
        <v>14.046530000000001</v>
      </c>
      <c r="EW24" s="171">
        <f t="shared" si="66"/>
        <v>14.046530000000001</v>
      </c>
      <c r="EX24" s="313">
        <v>5.1909999999999998</v>
      </c>
      <c r="EY24" s="171">
        <v>0.43897999999999998</v>
      </c>
      <c r="EZ24" s="171">
        <f t="shared" si="17"/>
        <v>-13.60755</v>
      </c>
      <c r="FA24" s="171">
        <f t="shared" si="67"/>
        <v>-96.874815345854103</v>
      </c>
      <c r="FB24" s="173">
        <v>107.03787</v>
      </c>
      <c r="FC24" s="171">
        <f t="shared" si="68"/>
        <v>107.03787</v>
      </c>
      <c r="FD24" s="171">
        <v>122</v>
      </c>
      <c r="FE24" s="171">
        <v>138.49</v>
      </c>
      <c r="FF24" s="171">
        <f t="shared" si="69"/>
        <v>31.452130000000011</v>
      </c>
      <c r="FG24" s="171">
        <f t="shared" si="70"/>
        <v>29.384114239194048</v>
      </c>
      <c r="FH24" s="171">
        <v>122561.49818000011</v>
      </c>
      <c r="FI24" s="171">
        <v>31694.511330000001</v>
      </c>
      <c r="FJ24" s="171">
        <v>258008.92674000026</v>
      </c>
      <c r="FK24" s="171">
        <v>32978.516640000002</v>
      </c>
      <c r="FL24" s="171">
        <f t="shared" si="71"/>
        <v>135447.42856000015</v>
      </c>
      <c r="FM24" s="171">
        <f t="shared" si="72"/>
        <v>1284.0053100000005</v>
      </c>
      <c r="FN24" s="171">
        <v>5542.0155999999997</v>
      </c>
      <c r="FO24" s="171">
        <v>5263.5292099999997</v>
      </c>
      <c r="FP24" s="171">
        <v>5752.05159</v>
      </c>
      <c r="FQ24" s="171">
        <v>5752.05159</v>
      </c>
      <c r="FR24" s="171">
        <f t="shared" si="73"/>
        <v>210.03599000000031</v>
      </c>
      <c r="FS24" s="171">
        <f t="shared" si="74"/>
        <v>488.52238000000034</v>
      </c>
      <c r="FT24" s="171">
        <v>31577.18129</v>
      </c>
      <c r="FU24" s="171">
        <v>11735.70284</v>
      </c>
      <c r="FV24" s="171">
        <v>3941.5371799999998</v>
      </c>
      <c r="FW24" s="171">
        <v>3205.1195699999998</v>
      </c>
      <c r="FX24" s="171">
        <f t="shared" si="75"/>
        <v>-27635.644110000001</v>
      </c>
      <c r="FY24" s="171">
        <f t="shared" si="76"/>
        <v>-8530.5832699999992</v>
      </c>
      <c r="FZ24" s="171">
        <v>14177.318450000001</v>
      </c>
      <c r="GA24" s="171">
        <v>9820.0334500000008</v>
      </c>
      <c r="GB24" s="171">
        <v>11274.764370000001</v>
      </c>
      <c r="GC24" s="171">
        <v>8633.42929</v>
      </c>
      <c r="GD24" s="171">
        <f t="shared" si="77"/>
        <v>-2902.5540799999999</v>
      </c>
      <c r="GE24" s="171">
        <f t="shared" si="78"/>
        <v>-1186.6041600000008</v>
      </c>
      <c r="GJ24" s="171">
        <f t="shared" si="79"/>
        <v>0</v>
      </c>
      <c r="GK24" s="171">
        <f t="shared" si="80"/>
        <v>0</v>
      </c>
      <c r="GL24" s="171">
        <v>4011.1098400000001</v>
      </c>
      <c r="GM24" s="171">
        <v>3732.6997799999999</v>
      </c>
      <c r="GN24" s="171">
        <v>14992.27614</v>
      </c>
      <c r="GO24" s="171">
        <v>14199.29933</v>
      </c>
      <c r="GP24" s="171">
        <f t="shared" si="81"/>
        <v>10981.166300000001</v>
      </c>
      <c r="GQ24" s="171">
        <f t="shared" si="82"/>
        <v>10466.599549999999</v>
      </c>
      <c r="GV24" s="171">
        <f t="shared" si="83"/>
        <v>0</v>
      </c>
      <c r="GW24" s="171">
        <f t="shared" si="84"/>
        <v>0</v>
      </c>
      <c r="HB24" s="171">
        <f t="shared" si="85"/>
        <v>0</v>
      </c>
      <c r="HC24" s="171">
        <f t="shared" si="86"/>
        <v>0</v>
      </c>
      <c r="HH24" s="171">
        <f t="shared" si="87"/>
        <v>0</v>
      </c>
      <c r="HI24" s="171">
        <f t="shared" si="88"/>
        <v>0</v>
      </c>
      <c r="HN24" s="171">
        <f t="shared" si="89"/>
        <v>0</v>
      </c>
      <c r="HO24" s="171">
        <f t="shared" si="90"/>
        <v>0</v>
      </c>
      <c r="HP24" s="171">
        <v>2625.4973500000001</v>
      </c>
      <c r="HQ24" s="171">
        <v>128.21109999999999</v>
      </c>
      <c r="HR24" s="171">
        <v>2387.94695</v>
      </c>
      <c r="HS24" s="171">
        <v>194.34486000000001</v>
      </c>
      <c r="HT24" s="171">
        <f t="shared" si="91"/>
        <v>-237.55040000000008</v>
      </c>
      <c r="HU24" s="171">
        <f t="shared" si="92"/>
        <v>66.133760000000024</v>
      </c>
      <c r="HV24" s="171">
        <v>5509.0278799999996</v>
      </c>
      <c r="HW24" s="171">
        <v>0</v>
      </c>
      <c r="HX24" s="171">
        <v>7102.7253099999998</v>
      </c>
      <c r="HY24" s="171">
        <v>0</v>
      </c>
      <c r="HZ24" s="171">
        <f t="shared" si="93"/>
        <v>1593.6974300000002</v>
      </c>
      <c r="IA24" s="171">
        <f t="shared" si="94"/>
        <v>0</v>
      </c>
      <c r="IB24" s="171">
        <v>0</v>
      </c>
      <c r="IC24" s="171">
        <v>0</v>
      </c>
      <c r="ID24" s="171">
        <v>0</v>
      </c>
      <c r="IE24" s="171">
        <v>0</v>
      </c>
      <c r="IF24" s="171">
        <f t="shared" si="95"/>
        <v>0</v>
      </c>
      <c r="IG24" s="171">
        <f t="shared" si="96"/>
        <v>0</v>
      </c>
      <c r="IH24" s="171">
        <v>4708.8490000000002</v>
      </c>
      <c r="II24" s="171">
        <v>0</v>
      </c>
      <c r="IJ24" s="171">
        <v>168553.95879</v>
      </c>
      <c r="IK24" s="171">
        <v>0</v>
      </c>
      <c r="IL24" s="171">
        <f t="shared" si="97"/>
        <v>163845.10979000002</v>
      </c>
      <c r="IM24" s="171">
        <f t="shared" si="98"/>
        <v>0</v>
      </c>
      <c r="IN24" s="171">
        <v>0</v>
      </c>
      <c r="IO24" s="171">
        <v>0</v>
      </c>
      <c r="IP24" s="171">
        <v>0</v>
      </c>
      <c r="IQ24" s="171">
        <v>0</v>
      </c>
      <c r="IR24" s="171">
        <f t="shared" si="99"/>
        <v>0</v>
      </c>
      <c r="IS24" s="171">
        <f t="shared" si="100"/>
        <v>0</v>
      </c>
      <c r="IT24" s="171">
        <v>54140.984510000002</v>
      </c>
      <c r="IU24" s="171">
        <v>79.667019999999994</v>
      </c>
      <c r="IV24" s="171">
        <v>16591.824400000001</v>
      </c>
      <c r="IW24" s="171">
        <v>73.598100000000002</v>
      </c>
      <c r="IX24" s="171">
        <f t="shared" si="101"/>
        <v>-37549.160109999997</v>
      </c>
      <c r="IY24" s="171">
        <f t="shared" si="102"/>
        <v>-6.0689199999999914</v>
      </c>
      <c r="JB24" s="171">
        <f t="shared" si="103"/>
        <v>0</v>
      </c>
      <c r="JE24" s="171">
        <f t="shared" si="104"/>
        <v>0</v>
      </c>
      <c r="JF24" s="171">
        <v>2.7889200000000001</v>
      </c>
      <c r="JG24" s="171">
        <v>0</v>
      </c>
      <c r="JH24" s="171">
        <f t="shared" si="105"/>
        <v>-2.7889200000000001</v>
      </c>
      <c r="JI24" s="171">
        <v>0</v>
      </c>
      <c r="JJ24" s="171">
        <v>0</v>
      </c>
      <c r="JK24" s="171">
        <f t="shared" si="106"/>
        <v>0</v>
      </c>
      <c r="JL24" s="171">
        <v>0</v>
      </c>
      <c r="JM24" s="171">
        <v>0</v>
      </c>
      <c r="JN24" s="171">
        <f t="shared" si="107"/>
        <v>0</v>
      </c>
      <c r="JO24" s="171">
        <v>0</v>
      </c>
      <c r="JP24" s="171">
        <v>0</v>
      </c>
      <c r="JQ24" s="171">
        <f t="shared" si="108"/>
        <v>0</v>
      </c>
      <c r="JR24" s="171">
        <v>24</v>
      </c>
      <c r="JS24" s="171">
        <v>24</v>
      </c>
      <c r="JT24" s="171">
        <f t="shared" si="109"/>
        <v>0</v>
      </c>
      <c r="JU24" s="171">
        <v>0</v>
      </c>
      <c r="JV24" s="171">
        <v>0</v>
      </c>
      <c r="JW24" s="171">
        <f t="shared" si="110"/>
        <v>0</v>
      </c>
      <c r="JX24" s="171">
        <v>0</v>
      </c>
      <c r="JY24" s="171">
        <v>0</v>
      </c>
      <c r="JZ24" s="171">
        <f t="shared" si="111"/>
        <v>0</v>
      </c>
      <c r="KA24" s="171">
        <v>49237.881029999997</v>
      </c>
      <c r="KC24" s="171">
        <v>9976.9650299999994</v>
      </c>
      <c r="KE24" s="171">
        <f t="shared" si="112"/>
        <v>-39260.915999999997</v>
      </c>
      <c r="KF24" s="171">
        <f t="shared" si="113"/>
        <v>0</v>
      </c>
    </row>
    <row r="25" spans="1:293" s="171" customFormat="1" x14ac:dyDescent="0.25">
      <c r="A25" s="169" t="s">
        <v>169</v>
      </c>
      <c r="B25" s="170">
        <v>0</v>
      </c>
      <c r="C25" s="170">
        <v>1231998.7809900001</v>
      </c>
      <c r="D25" s="170">
        <v>0</v>
      </c>
      <c r="E25" s="170">
        <v>127964.11405</v>
      </c>
      <c r="F25" s="171">
        <f t="shared" si="19"/>
        <v>1359962.8950400001</v>
      </c>
      <c r="G25" s="170">
        <v>0</v>
      </c>
      <c r="H25" s="170">
        <v>1205027.0491299999</v>
      </c>
      <c r="I25" s="170">
        <v>0</v>
      </c>
      <c r="J25" s="170">
        <v>126757.9142</v>
      </c>
      <c r="K25" s="171">
        <f t="shared" si="20"/>
        <v>1331784.9633299999</v>
      </c>
      <c r="L25" s="170">
        <v>79003.22288999999</v>
      </c>
      <c r="M25" s="170">
        <v>0</v>
      </c>
      <c r="N25" s="170">
        <v>2881.7312299999999</v>
      </c>
      <c r="O25" s="171">
        <f t="shared" si="21"/>
        <v>81884.954119999995</v>
      </c>
      <c r="P25" s="170">
        <v>78080.378970000005</v>
      </c>
      <c r="Q25" s="170">
        <v>0</v>
      </c>
      <c r="R25" s="170">
        <v>2881.7312299999999</v>
      </c>
      <c r="S25" s="171">
        <f t="shared" si="22"/>
        <v>80962.11020000001</v>
      </c>
      <c r="T25" s="170">
        <v>0</v>
      </c>
      <c r="U25" s="170">
        <v>1237513.54626</v>
      </c>
      <c r="V25" s="170">
        <v>0</v>
      </c>
      <c r="W25" s="170">
        <v>133250.72429000001</v>
      </c>
      <c r="X25" s="171">
        <f t="shared" si="23"/>
        <v>1370764.27055</v>
      </c>
      <c r="Y25" s="170">
        <v>0</v>
      </c>
      <c r="Z25" s="170">
        <v>1194600.2396199999</v>
      </c>
      <c r="AA25" s="170">
        <v>0</v>
      </c>
      <c r="AB25" s="170">
        <v>121619.08386</v>
      </c>
      <c r="AC25" s="171">
        <f t="shared" si="24"/>
        <v>1316219.3234799998</v>
      </c>
      <c r="AD25" s="171">
        <f t="shared" si="25"/>
        <v>1278077.9409200002</v>
      </c>
      <c r="AE25" s="171">
        <f t="shared" si="0"/>
        <v>1250822.8531299999</v>
      </c>
      <c r="AF25" s="171">
        <f t="shared" si="26"/>
        <v>97.867494077052825</v>
      </c>
      <c r="AG25" s="172">
        <v>1278078</v>
      </c>
      <c r="AH25" s="172">
        <f t="shared" si="27"/>
        <v>5.907999980263412E-2</v>
      </c>
      <c r="AI25" s="172">
        <v>1250823</v>
      </c>
      <c r="AJ25" s="172">
        <f t="shared" si="28"/>
        <v>0.14687000005505979</v>
      </c>
      <c r="AK25" s="171">
        <f t="shared" si="1"/>
        <v>1288879.3164300001</v>
      </c>
      <c r="AL25" s="171">
        <f t="shared" si="2"/>
        <v>1235257.2132799998</v>
      </c>
      <c r="AM25" s="171">
        <f t="shared" si="29"/>
        <v>95.839633512117686</v>
      </c>
      <c r="AN25" s="173">
        <v>0</v>
      </c>
      <c r="AO25" s="173">
        <v>-35361.465600000003</v>
      </c>
      <c r="AP25" s="173">
        <v>0</v>
      </c>
      <c r="AQ25" s="173">
        <v>-5286.61024</v>
      </c>
      <c r="AR25" s="171">
        <f t="shared" si="30"/>
        <v>-40648.075840000005</v>
      </c>
      <c r="AS25" s="173">
        <v>0</v>
      </c>
      <c r="AT25" s="173">
        <v>10426.809509999999</v>
      </c>
      <c r="AU25" s="173">
        <v>0</v>
      </c>
      <c r="AV25" s="173">
        <v>5138.8303400000004</v>
      </c>
      <c r="AW25" s="171">
        <f t="shared" si="31"/>
        <v>15565.63985</v>
      </c>
      <c r="AX25" s="170">
        <v>0</v>
      </c>
      <c r="AY25" s="170">
        <v>1068416.1819500001</v>
      </c>
      <c r="AZ25" s="170">
        <v>0</v>
      </c>
      <c r="BA25" s="170">
        <v>79003.222890000005</v>
      </c>
      <c r="BB25" s="312">
        <f t="shared" si="32"/>
        <v>0</v>
      </c>
      <c r="BC25" s="171">
        <f t="shared" si="33"/>
        <v>1147419.4048400002</v>
      </c>
      <c r="BD25" s="170">
        <v>0</v>
      </c>
      <c r="BE25" s="170">
        <v>1034630.31805</v>
      </c>
      <c r="BF25" s="170">
        <v>0</v>
      </c>
      <c r="BG25" s="170">
        <v>78080.378970000005</v>
      </c>
      <c r="BH25" s="312">
        <f t="shared" si="3"/>
        <v>0</v>
      </c>
      <c r="BI25" s="171">
        <f t="shared" si="34"/>
        <v>1112710.6970200001</v>
      </c>
      <c r="BJ25" s="171">
        <f t="shared" si="4"/>
        <v>1065534.4507200003</v>
      </c>
      <c r="BK25" s="171">
        <f t="shared" si="5"/>
        <v>1031748.5868200001</v>
      </c>
      <c r="BL25" s="171">
        <f t="shared" si="35"/>
        <v>96.829209616153605</v>
      </c>
      <c r="BM25" s="170">
        <v>0</v>
      </c>
      <c r="BN25" s="170">
        <v>139596.17623000001</v>
      </c>
      <c r="BO25" s="170">
        <v>0</v>
      </c>
      <c r="BP25" s="170">
        <v>48960.891159999999</v>
      </c>
      <c r="BQ25" s="171">
        <f t="shared" si="36"/>
        <v>188557.06739000001</v>
      </c>
      <c r="BR25" s="171">
        <f t="shared" si="6"/>
        <v>188557.06739000001</v>
      </c>
      <c r="BS25" s="170">
        <v>0</v>
      </c>
      <c r="BT25" s="170">
        <v>146398.30827000001</v>
      </c>
      <c r="BU25" s="170">
        <v>0</v>
      </c>
      <c r="BV25" s="170">
        <v>48671.597650000003</v>
      </c>
      <c r="BW25" s="171">
        <f t="shared" si="37"/>
        <v>195069.90592000002</v>
      </c>
      <c r="BX25" s="171">
        <f t="shared" si="7"/>
        <v>195069.90592000002</v>
      </c>
      <c r="BY25" s="171">
        <v>13302.471970000001</v>
      </c>
      <c r="BZ25" s="173">
        <v>13366.643</v>
      </c>
      <c r="CA25" s="171">
        <f t="shared" si="38"/>
        <v>13366.643</v>
      </c>
      <c r="CB25" s="173">
        <v>13297.11987</v>
      </c>
      <c r="CC25" s="171">
        <f t="shared" si="38"/>
        <v>13297.11987</v>
      </c>
      <c r="CD25" s="171">
        <f t="shared" si="8"/>
        <v>99.479875911999756</v>
      </c>
      <c r="CE25" s="171">
        <f t="shared" si="39"/>
        <v>-4.0233875418564935E-2</v>
      </c>
      <c r="CF25" s="173">
        <v>16216.58656</v>
      </c>
      <c r="CG25" s="171">
        <f t="shared" si="40"/>
        <v>16216.58656</v>
      </c>
      <c r="CH25" s="269">
        <v>15998.85864</v>
      </c>
      <c r="CI25" s="171">
        <f t="shared" si="41"/>
        <v>15998.85864</v>
      </c>
      <c r="CJ25" s="171">
        <f t="shared" si="9"/>
        <v>98.657375156020507</v>
      </c>
      <c r="CK25" s="173">
        <v>19890.967000000001</v>
      </c>
      <c r="CL25" s="171">
        <f t="shared" si="42"/>
        <v>19890.967000000001</v>
      </c>
      <c r="CM25" s="173">
        <v>21123.16344</v>
      </c>
      <c r="CN25" s="171">
        <f t="shared" si="43"/>
        <v>21123.16344</v>
      </c>
      <c r="CO25" s="173">
        <v>19848.0524</v>
      </c>
      <c r="CP25" s="171">
        <f t="shared" si="44"/>
        <v>19848.0524</v>
      </c>
      <c r="CQ25" s="171">
        <f t="shared" si="10"/>
        <v>99.784250810933429</v>
      </c>
      <c r="CR25" s="171">
        <f t="shared" si="45"/>
        <v>-1275.1110399999998</v>
      </c>
      <c r="CS25" s="171">
        <f t="shared" si="46"/>
        <v>-6.0365533960949165</v>
      </c>
      <c r="CT25" s="171">
        <v>31885.975190000001</v>
      </c>
      <c r="CU25" s="173">
        <v>29934.346600000001</v>
      </c>
      <c r="CV25" s="171">
        <f t="shared" si="47"/>
        <v>29934.346600000001</v>
      </c>
      <c r="CW25" s="173">
        <v>31300.50304</v>
      </c>
      <c r="CX25" s="171">
        <f t="shared" ref="CX25" si="129">(CW25)</f>
        <v>31300.50304</v>
      </c>
      <c r="CY25" s="171">
        <f t="shared" si="11"/>
        <v>104.56384252596312</v>
      </c>
      <c r="CZ25" s="171">
        <f t="shared" si="49"/>
        <v>-1.836143152314861</v>
      </c>
      <c r="DA25" s="171">
        <v>71454.754140000005</v>
      </c>
      <c r="DB25" s="171">
        <v>4125.8905000000004</v>
      </c>
      <c r="DC25" s="173">
        <v>87020.393989999997</v>
      </c>
      <c r="DD25" s="171">
        <f t="shared" si="50"/>
        <v>87020.393989999997</v>
      </c>
      <c r="DE25" s="173">
        <v>2316.78199</v>
      </c>
      <c r="DF25" s="171">
        <f t="shared" si="51"/>
        <v>2316.78199</v>
      </c>
      <c r="DG25" s="171">
        <f t="shared" si="12"/>
        <v>15565.639849999992</v>
      </c>
      <c r="DH25" s="171">
        <f t="shared" si="13"/>
        <v>-1809.1085100000005</v>
      </c>
      <c r="DJ25" s="171">
        <v>0</v>
      </c>
      <c r="DK25" s="171">
        <f t="shared" si="52"/>
        <v>0</v>
      </c>
      <c r="DL25" s="170">
        <v>0</v>
      </c>
      <c r="DM25" s="170">
        <v>1092402.60476</v>
      </c>
      <c r="DN25" s="170">
        <v>0</v>
      </c>
      <c r="DO25" s="170">
        <v>79003.222890000005</v>
      </c>
      <c r="DP25" s="171">
        <f t="shared" si="53"/>
        <v>1171405.8276500001</v>
      </c>
      <c r="DQ25" s="170">
        <v>0</v>
      </c>
      <c r="DR25" s="170">
        <v>1058628.74086</v>
      </c>
      <c r="DS25" s="170">
        <v>0</v>
      </c>
      <c r="DT25" s="170">
        <v>78086.316550000003</v>
      </c>
      <c r="DU25" s="171">
        <f t="shared" si="54"/>
        <v>1136715.0574100001</v>
      </c>
      <c r="DV25" s="174">
        <f t="shared" si="14"/>
        <v>1089520.8735300002</v>
      </c>
      <c r="DW25" s="174">
        <f t="shared" si="15"/>
        <v>1055752.9472100001</v>
      </c>
      <c r="DX25" s="171">
        <f t="shared" si="55"/>
        <v>96.900662746314026</v>
      </c>
      <c r="DY25" s="170">
        <v>89410</v>
      </c>
      <c r="DZ25" s="171">
        <f t="shared" si="56"/>
        <v>89410</v>
      </c>
      <c r="EA25" s="171">
        <v>35</v>
      </c>
      <c r="EB25" s="171">
        <f t="shared" si="57"/>
        <v>255457.14285714287</v>
      </c>
      <c r="EC25" s="171">
        <f t="shared" si="58"/>
        <v>89410</v>
      </c>
      <c r="ED25" s="171">
        <f t="shared" si="59"/>
        <v>0</v>
      </c>
      <c r="EE25" s="170">
        <v>96055.690589999998</v>
      </c>
      <c r="EF25" s="171">
        <f t="shared" si="60"/>
        <v>96055.690589999998</v>
      </c>
      <c r="EG25" s="171">
        <f t="shared" si="61"/>
        <v>274444.83025714289</v>
      </c>
      <c r="EH25" s="171">
        <f t="shared" si="62"/>
        <v>96055.690590000013</v>
      </c>
      <c r="EI25" s="171">
        <f t="shared" si="63"/>
        <v>0</v>
      </c>
      <c r="EJ25" s="173">
        <v>12490.428749999999</v>
      </c>
      <c r="EK25" s="171">
        <f t="shared" si="64"/>
        <v>12490.428749999999</v>
      </c>
      <c r="EL25" s="171">
        <v>12469</v>
      </c>
      <c r="EM25" s="171">
        <v>12449.65416</v>
      </c>
      <c r="EN25" s="171">
        <f t="shared" si="16"/>
        <v>-40.77458999999908</v>
      </c>
      <c r="EO25" s="171">
        <f t="shared" si="65"/>
        <v>-0.32644668022304302</v>
      </c>
      <c r="EV25" s="173">
        <v>782.04322000000002</v>
      </c>
      <c r="EW25" s="171">
        <f t="shared" si="66"/>
        <v>782.04322000000002</v>
      </c>
      <c r="EX25" s="313">
        <v>849.64300000000003</v>
      </c>
      <c r="EY25" s="171">
        <v>794.02864</v>
      </c>
      <c r="EZ25" s="171">
        <f t="shared" si="17"/>
        <v>11.985419999999976</v>
      </c>
      <c r="FA25" s="171">
        <f t="shared" si="67"/>
        <v>1.5325777007567467</v>
      </c>
      <c r="FB25" s="173">
        <v>30</v>
      </c>
      <c r="FC25" s="171">
        <f t="shared" si="68"/>
        <v>30</v>
      </c>
      <c r="FD25" s="171">
        <v>48</v>
      </c>
      <c r="FE25" s="171">
        <v>53.437069999999999</v>
      </c>
      <c r="FF25" s="171">
        <f t="shared" si="69"/>
        <v>23.437069999999999</v>
      </c>
      <c r="FG25" s="171">
        <f t="shared" si="70"/>
        <v>78.123566666666676</v>
      </c>
      <c r="FH25" s="171">
        <v>43077.126439999789</v>
      </c>
      <c r="FI25" s="171">
        <v>18291.034060000002</v>
      </c>
      <c r="FJ25" s="171">
        <v>35879.432230000006</v>
      </c>
      <c r="FK25" s="171">
        <v>19201.069459999999</v>
      </c>
      <c r="FL25" s="171">
        <f t="shared" si="71"/>
        <v>-7197.6942099997832</v>
      </c>
      <c r="FM25" s="171">
        <f t="shared" si="72"/>
        <v>910.03539999999703</v>
      </c>
      <c r="FN25" s="171">
        <v>5432.7911899999999</v>
      </c>
      <c r="FO25" s="171">
        <v>5432.7911899999999</v>
      </c>
      <c r="FP25" s="171">
        <v>4369.7622099999999</v>
      </c>
      <c r="FQ25" s="171">
        <v>4369.7622099999999</v>
      </c>
      <c r="FR25" s="171">
        <f t="shared" si="73"/>
        <v>-1063.02898</v>
      </c>
      <c r="FS25" s="171">
        <f t="shared" si="74"/>
        <v>-1063.02898</v>
      </c>
      <c r="FT25" s="171">
        <v>17010.87499</v>
      </c>
      <c r="FU25" s="171">
        <v>4578.4631900000004</v>
      </c>
      <c r="FV25" s="171">
        <v>17844.421149999998</v>
      </c>
      <c r="FW25" s="171">
        <v>4843.8093799999997</v>
      </c>
      <c r="FX25" s="171">
        <f t="shared" si="75"/>
        <v>833.54615999999805</v>
      </c>
      <c r="FY25" s="171">
        <f t="shared" si="76"/>
        <v>265.3461899999993</v>
      </c>
      <c r="FZ25" s="171">
        <v>5014.5429800000002</v>
      </c>
      <c r="GA25" s="171">
        <v>2324.96164</v>
      </c>
      <c r="GB25" s="171">
        <v>6058.4892499999996</v>
      </c>
      <c r="GC25" s="171">
        <v>3520.3535299999999</v>
      </c>
      <c r="GD25" s="171">
        <f t="shared" si="77"/>
        <v>1043.9462699999995</v>
      </c>
      <c r="GE25" s="171">
        <f t="shared" si="78"/>
        <v>1195.3918899999999</v>
      </c>
      <c r="GJ25" s="171">
        <f t="shared" si="79"/>
        <v>0</v>
      </c>
      <c r="GK25" s="171">
        <f t="shared" si="80"/>
        <v>0</v>
      </c>
      <c r="GL25" s="171">
        <v>5199.84375</v>
      </c>
      <c r="GM25" s="171">
        <v>5199.84375</v>
      </c>
      <c r="GN25" s="171">
        <v>5809.3157499999998</v>
      </c>
      <c r="GO25" s="171">
        <v>5809.3157499999998</v>
      </c>
      <c r="GP25" s="171">
        <f t="shared" si="81"/>
        <v>609.47199999999975</v>
      </c>
      <c r="GQ25" s="171">
        <f t="shared" si="82"/>
        <v>609.47199999999975</v>
      </c>
      <c r="GV25" s="171">
        <f t="shared" si="83"/>
        <v>0</v>
      </c>
      <c r="GW25" s="171">
        <f t="shared" si="84"/>
        <v>0</v>
      </c>
      <c r="HB25" s="171">
        <f t="shared" si="85"/>
        <v>0</v>
      </c>
      <c r="HC25" s="171">
        <f t="shared" si="86"/>
        <v>0</v>
      </c>
      <c r="HH25" s="171">
        <f t="shared" si="87"/>
        <v>0</v>
      </c>
      <c r="HI25" s="171">
        <f t="shared" si="88"/>
        <v>0</v>
      </c>
      <c r="HN25" s="171">
        <f t="shared" si="89"/>
        <v>0</v>
      </c>
      <c r="HO25" s="171">
        <f t="shared" si="90"/>
        <v>0</v>
      </c>
      <c r="HP25" s="171">
        <v>250.803</v>
      </c>
      <c r="HQ25" s="171">
        <v>219.50359</v>
      </c>
      <c r="HR25" s="171">
        <v>75.070639999999997</v>
      </c>
      <c r="HS25" s="171">
        <v>75.070639999999997</v>
      </c>
      <c r="HT25" s="171">
        <f t="shared" si="91"/>
        <v>-175.73236</v>
      </c>
      <c r="HU25" s="171">
        <f t="shared" si="92"/>
        <v>-144.43295000000001</v>
      </c>
      <c r="HV25" s="171">
        <v>100.34635</v>
      </c>
      <c r="HW25" s="171">
        <v>100.34635</v>
      </c>
      <c r="HX25" s="171">
        <v>120.41562</v>
      </c>
      <c r="HY25" s="171">
        <v>120.41562</v>
      </c>
      <c r="HZ25" s="171">
        <f t="shared" si="93"/>
        <v>20.069270000000003</v>
      </c>
      <c r="IA25" s="171">
        <f t="shared" si="94"/>
        <v>20.069270000000003</v>
      </c>
      <c r="IB25" s="171">
        <v>0</v>
      </c>
      <c r="IC25" s="171">
        <v>0</v>
      </c>
      <c r="ID25" s="171">
        <v>0</v>
      </c>
      <c r="IE25" s="171">
        <v>0</v>
      </c>
      <c r="IF25" s="171">
        <f t="shared" si="95"/>
        <v>0</v>
      </c>
      <c r="IG25" s="171">
        <f t="shared" si="96"/>
        <v>0</v>
      </c>
      <c r="IH25" s="171">
        <v>0</v>
      </c>
      <c r="II25" s="171">
        <v>0</v>
      </c>
      <c r="IJ25" s="171">
        <v>0</v>
      </c>
      <c r="IK25" s="171">
        <v>0</v>
      </c>
      <c r="IL25" s="171">
        <f t="shared" si="97"/>
        <v>0</v>
      </c>
      <c r="IM25" s="171">
        <f t="shared" si="98"/>
        <v>0</v>
      </c>
      <c r="IN25" s="171">
        <v>0</v>
      </c>
      <c r="IO25" s="171">
        <v>0</v>
      </c>
      <c r="IP25" s="171">
        <v>0</v>
      </c>
      <c r="IQ25" s="171">
        <v>0</v>
      </c>
      <c r="IR25" s="171">
        <f t="shared" si="99"/>
        <v>0</v>
      </c>
      <c r="IS25" s="171">
        <f t="shared" si="100"/>
        <v>0</v>
      </c>
      <c r="IT25" s="171">
        <v>11961.241900000001</v>
      </c>
      <c r="IU25" s="171">
        <v>0</v>
      </c>
      <c r="IV25" s="171">
        <v>26711.983609999999</v>
      </c>
      <c r="IW25" s="171">
        <v>0</v>
      </c>
      <c r="IX25" s="171">
        <f t="shared" si="101"/>
        <v>14750.741709999998</v>
      </c>
      <c r="IY25" s="171">
        <f t="shared" si="102"/>
        <v>0</v>
      </c>
      <c r="JB25" s="171">
        <f t="shared" si="103"/>
        <v>0</v>
      </c>
      <c r="JE25" s="171">
        <f t="shared" si="104"/>
        <v>0</v>
      </c>
      <c r="JF25" s="171">
        <v>0</v>
      </c>
      <c r="JG25" s="171">
        <v>0</v>
      </c>
      <c r="JH25" s="171">
        <f t="shared" si="105"/>
        <v>0</v>
      </c>
      <c r="JI25" s="171">
        <v>0</v>
      </c>
      <c r="JJ25" s="171">
        <v>0</v>
      </c>
      <c r="JK25" s="171">
        <f t="shared" si="106"/>
        <v>0</v>
      </c>
      <c r="JL25" s="171">
        <v>0</v>
      </c>
      <c r="JM25" s="171">
        <v>0</v>
      </c>
      <c r="JN25" s="171">
        <f t="shared" si="107"/>
        <v>0</v>
      </c>
      <c r="JO25" s="171">
        <v>0</v>
      </c>
      <c r="JP25" s="171">
        <v>0</v>
      </c>
      <c r="JQ25" s="171">
        <f t="shared" si="108"/>
        <v>0</v>
      </c>
      <c r="JR25" s="171">
        <v>0</v>
      </c>
      <c r="JS25" s="171">
        <v>0</v>
      </c>
      <c r="JT25" s="171">
        <f t="shared" si="109"/>
        <v>0</v>
      </c>
      <c r="JU25" s="171">
        <v>0</v>
      </c>
      <c r="JV25" s="171">
        <v>0</v>
      </c>
      <c r="JW25" s="171">
        <f t="shared" si="110"/>
        <v>0</v>
      </c>
      <c r="JX25" s="171">
        <v>0</v>
      </c>
      <c r="JY25" s="171">
        <v>0</v>
      </c>
      <c r="JZ25" s="171">
        <f t="shared" si="111"/>
        <v>0</v>
      </c>
      <c r="KA25" s="171">
        <v>9165.2712200000005</v>
      </c>
      <c r="KC25" s="171">
        <v>7659.31196</v>
      </c>
      <c r="KE25" s="171">
        <f t="shared" si="112"/>
        <v>-1505.9592600000005</v>
      </c>
      <c r="KF25" s="171">
        <f t="shared" si="113"/>
        <v>0</v>
      </c>
    </row>
    <row r="26" spans="1:293" s="171" customFormat="1" x14ac:dyDescent="0.25">
      <c r="A26" s="169" t="s">
        <v>170</v>
      </c>
      <c r="B26" s="170">
        <v>0</v>
      </c>
      <c r="C26" s="170">
        <v>694669.85872000002</v>
      </c>
      <c r="D26" s="170">
        <v>48772.823969999998</v>
      </c>
      <c r="E26" s="170">
        <v>42038.550439999999</v>
      </c>
      <c r="F26" s="171">
        <f t="shared" si="19"/>
        <v>785481.23313000007</v>
      </c>
      <c r="G26" s="170">
        <v>0</v>
      </c>
      <c r="H26" s="170">
        <v>552413.18813000002</v>
      </c>
      <c r="I26" s="170">
        <v>42054.292070000003</v>
      </c>
      <c r="J26" s="170">
        <v>40581.399590000001</v>
      </c>
      <c r="K26" s="171">
        <f t="shared" si="20"/>
        <v>635048.87979000004</v>
      </c>
      <c r="L26" s="170">
        <v>60160.162779999999</v>
      </c>
      <c r="M26" s="170">
        <v>166</v>
      </c>
      <c r="N26" s="170">
        <v>9099.2000000000007</v>
      </c>
      <c r="O26" s="171">
        <f t="shared" si="21"/>
        <v>69425.362779999996</v>
      </c>
      <c r="P26" s="170">
        <v>56861.552060000002</v>
      </c>
      <c r="Q26" s="170">
        <v>166</v>
      </c>
      <c r="R26" s="170">
        <v>9099.2000000000007</v>
      </c>
      <c r="S26" s="171">
        <f t="shared" si="22"/>
        <v>66126.752059999999</v>
      </c>
      <c r="T26" s="170">
        <v>0</v>
      </c>
      <c r="U26" s="170">
        <v>716785.50234000001</v>
      </c>
      <c r="V26" s="170">
        <v>48611.509189999997</v>
      </c>
      <c r="W26" s="170">
        <v>44399.832110000003</v>
      </c>
      <c r="X26" s="171">
        <f t="shared" si="23"/>
        <v>809796.84363999998</v>
      </c>
      <c r="Y26" s="170">
        <v>0</v>
      </c>
      <c r="Z26" s="170">
        <v>567026.46819000004</v>
      </c>
      <c r="AA26" s="170">
        <v>42178.023990000002</v>
      </c>
      <c r="AB26" s="170">
        <v>41086.847650000003</v>
      </c>
      <c r="AC26" s="171">
        <f t="shared" si="24"/>
        <v>650291.33983000007</v>
      </c>
      <c r="AD26" s="171">
        <f t="shared" si="25"/>
        <v>716055.8703500001</v>
      </c>
      <c r="AE26" s="171">
        <f t="shared" si="0"/>
        <v>568922.12773000007</v>
      </c>
      <c r="AF26" s="171">
        <f t="shared" si="26"/>
        <v>79.452197976104472</v>
      </c>
      <c r="AG26" s="172">
        <v>716187</v>
      </c>
      <c r="AH26" s="172">
        <f t="shared" si="27"/>
        <v>131.12964999990072</v>
      </c>
      <c r="AI26" s="172">
        <v>568922</v>
      </c>
      <c r="AJ26" s="172">
        <f t="shared" si="28"/>
        <v>-0.12773000006563962</v>
      </c>
      <c r="AK26" s="171">
        <f t="shared" si="1"/>
        <v>740371.48086000001</v>
      </c>
      <c r="AL26" s="171">
        <f t="shared" si="2"/>
        <v>584164.5877700001</v>
      </c>
      <c r="AM26" s="171">
        <f t="shared" si="29"/>
        <v>78.901551838740033</v>
      </c>
      <c r="AN26" s="173">
        <v>0</v>
      </c>
      <c r="AO26" s="173">
        <v>-24545.966219999998</v>
      </c>
      <c r="AP26" s="173">
        <v>-2397.1601900000001</v>
      </c>
      <c r="AQ26" s="173">
        <v>-2321.2816699999998</v>
      </c>
      <c r="AR26" s="171">
        <f t="shared" si="30"/>
        <v>-29264.408079999997</v>
      </c>
      <c r="AS26" s="173">
        <v>0</v>
      </c>
      <c r="AT26" s="173">
        <v>-14613.280059999999</v>
      </c>
      <c r="AU26" s="173">
        <v>-123.73192</v>
      </c>
      <c r="AV26" s="173">
        <v>-505.44806</v>
      </c>
      <c r="AW26" s="171">
        <f t="shared" si="31"/>
        <v>-15242.46004</v>
      </c>
      <c r="AX26" s="170">
        <v>0</v>
      </c>
      <c r="AY26" s="170">
        <v>625204.05238999997</v>
      </c>
      <c r="AZ26" s="170">
        <v>29013.09175</v>
      </c>
      <c r="BA26" s="170">
        <v>33665.546000000002</v>
      </c>
      <c r="BB26" s="312">
        <f t="shared" si="32"/>
        <v>-2518.4749700000029</v>
      </c>
      <c r="BC26" s="171">
        <f t="shared" si="33"/>
        <v>687882.69013999996</v>
      </c>
      <c r="BD26" s="170">
        <v>0</v>
      </c>
      <c r="BE26" s="170">
        <v>484821.88907999999</v>
      </c>
      <c r="BF26" s="170">
        <v>23701.671060000001</v>
      </c>
      <c r="BG26" s="170">
        <v>33159.881000000001</v>
      </c>
      <c r="BH26" s="312">
        <f t="shared" si="3"/>
        <v>0</v>
      </c>
      <c r="BI26" s="171">
        <f t="shared" si="34"/>
        <v>541683.44114000001</v>
      </c>
      <c r="BJ26" s="171">
        <f t="shared" si="4"/>
        <v>618457.32736</v>
      </c>
      <c r="BK26" s="171">
        <f t="shared" si="5"/>
        <v>475556.68908000004</v>
      </c>
      <c r="BL26" s="171">
        <f t="shared" si="35"/>
        <v>76.894018073971594</v>
      </c>
      <c r="BM26" s="170">
        <v>0</v>
      </c>
      <c r="BN26" s="170">
        <v>69341.902000000002</v>
      </c>
      <c r="BO26" s="170">
        <v>19759.732220000002</v>
      </c>
      <c r="BP26" s="170">
        <v>8463.2000000000007</v>
      </c>
      <c r="BQ26" s="171">
        <f t="shared" si="36"/>
        <v>97564.834220000004</v>
      </c>
      <c r="BR26" s="171">
        <f t="shared" si="6"/>
        <v>97564.834220000004</v>
      </c>
      <c r="BS26" s="170">
        <v>0</v>
      </c>
      <c r="BT26" s="170">
        <v>67338.247770000002</v>
      </c>
      <c r="BU26" s="170">
        <v>18352.621009999999</v>
      </c>
      <c r="BV26" s="170">
        <v>7511.7141499999998</v>
      </c>
      <c r="BW26" s="171">
        <f t="shared" si="37"/>
        <v>93202.582930000004</v>
      </c>
      <c r="BX26" s="171">
        <f t="shared" si="7"/>
        <v>93202.582930000004</v>
      </c>
      <c r="BY26" s="171">
        <v>7983.0604199999998</v>
      </c>
      <c r="BZ26" s="173">
        <v>8045</v>
      </c>
      <c r="CA26" s="171">
        <f t="shared" si="38"/>
        <v>8045</v>
      </c>
      <c r="CB26" s="173">
        <v>6776.4196300000003</v>
      </c>
      <c r="CC26" s="171">
        <f t="shared" si="38"/>
        <v>6776.4196300000003</v>
      </c>
      <c r="CD26" s="171">
        <f t="shared" si="8"/>
        <v>84.231443505282783</v>
      </c>
      <c r="CE26" s="171">
        <f t="shared" si="39"/>
        <v>-15.115015125990979</v>
      </c>
      <c r="CF26" s="173">
        <v>514.74199999999996</v>
      </c>
      <c r="CG26" s="171">
        <f t="shared" si="40"/>
        <v>514.74199999999996</v>
      </c>
      <c r="CH26" s="269">
        <v>622.32219999999995</v>
      </c>
      <c r="CI26" s="171">
        <f t="shared" si="41"/>
        <v>622.32219999999995</v>
      </c>
      <c r="CJ26" s="171">
        <f t="shared" si="9"/>
        <v>120.89982942911206</v>
      </c>
      <c r="CK26" s="173">
        <v>11399</v>
      </c>
      <c r="CL26" s="171">
        <f t="shared" si="42"/>
        <v>11399</v>
      </c>
      <c r="CM26" s="173">
        <v>10162.97747</v>
      </c>
      <c r="CN26" s="171">
        <f t="shared" si="43"/>
        <v>10162.97747</v>
      </c>
      <c r="CO26" s="173">
        <v>10442.932349999999</v>
      </c>
      <c r="CP26" s="171">
        <f t="shared" si="44"/>
        <v>10442.932349999999</v>
      </c>
      <c r="CQ26" s="171">
        <f t="shared" si="10"/>
        <v>91.612705939117461</v>
      </c>
      <c r="CR26" s="171">
        <f t="shared" si="45"/>
        <v>279.95487999999932</v>
      </c>
      <c r="CS26" s="171">
        <f t="shared" si="46"/>
        <v>2.7546541436935712</v>
      </c>
      <c r="CT26" s="171">
        <v>14198.890530000001</v>
      </c>
      <c r="CU26" s="173">
        <v>11528.45822</v>
      </c>
      <c r="CV26" s="171">
        <f t="shared" si="47"/>
        <v>11528.45822</v>
      </c>
      <c r="CW26" s="173">
        <v>11864.554340000001</v>
      </c>
      <c r="CX26" s="171">
        <f t="shared" ref="CX26" si="130">(CW26)</f>
        <v>11864.554340000001</v>
      </c>
      <c r="CY26" s="171">
        <f t="shared" si="11"/>
        <v>102.91536052424537</v>
      </c>
      <c r="CZ26" s="171">
        <f t="shared" si="49"/>
        <v>-16.440271759740085</v>
      </c>
      <c r="DA26" s="171">
        <v>56096.235119999998</v>
      </c>
      <c r="DB26" s="171">
        <v>2959.1613000000002</v>
      </c>
      <c r="DC26" s="173">
        <v>40853.775079999999</v>
      </c>
      <c r="DD26" s="171">
        <f t="shared" si="50"/>
        <v>40853.775079999999</v>
      </c>
      <c r="DE26" s="173">
        <v>2625.7932500000002</v>
      </c>
      <c r="DF26" s="171">
        <f t="shared" si="51"/>
        <v>2625.7932500000002</v>
      </c>
      <c r="DG26" s="171">
        <f t="shared" si="12"/>
        <v>-15242.460039999998</v>
      </c>
      <c r="DH26" s="171">
        <f t="shared" si="13"/>
        <v>-333.36805000000004</v>
      </c>
      <c r="DJ26" s="171">
        <v>0</v>
      </c>
      <c r="DK26" s="171">
        <f t="shared" si="52"/>
        <v>0</v>
      </c>
      <c r="DL26" s="170">
        <v>0</v>
      </c>
      <c r="DM26" s="170">
        <v>625327.95672000002</v>
      </c>
      <c r="DN26" s="170">
        <v>29013.09175</v>
      </c>
      <c r="DO26" s="170">
        <v>33575.350440000002</v>
      </c>
      <c r="DP26" s="171">
        <f t="shared" si="53"/>
        <v>687916.39890999999</v>
      </c>
      <c r="DQ26" s="170">
        <v>0</v>
      </c>
      <c r="DR26" s="170">
        <v>485074.94036000001</v>
      </c>
      <c r="DS26" s="170">
        <v>23701.671060000001</v>
      </c>
      <c r="DT26" s="170">
        <v>33069.685440000001</v>
      </c>
      <c r="DU26" s="171">
        <f t="shared" si="54"/>
        <v>541846.29686</v>
      </c>
      <c r="DV26" s="174">
        <f t="shared" si="14"/>
        <v>618491.03613000002</v>
      </c>
      <c r="DW26" s="174">
        <f t="shared" si="15"/>
        <v>475719.54480000003</v>
      </c>
      <c r="DX26" s="171">
        <f t="shared" si="55"/>
        <v>76.916158361268302</v>
      </c>
      <c r="DY26" s="170">
        <v>49103</v>
      </c>
      <c r="DZ26" s="171">
        <f t="shared" si="56"/>
        <v>49103</v>
      </c>
      <c r="EA26" s="171">
        <v>35</v>
      </c>
      <c r="EB26" s="171">
        <f t="shared" si="57"/>
        <v>140294.28571428571</v>
      </c>
      <c r="EC26" s="171">
        <f t="shared" si="58"/>
        <v>49102.999999999993</v>
      </c>
      <c r="ED26" s="171">
        <f t="shared" si="59"/>
        <v>0</v>
      </c>
      <c r="EE26" s="170">
        <v>46018.432719999997</v>
      </c>
      <c r="EF26" s="171">
        <f t="shared" si="60"/>
        <v>46018.432719999997</v>
      </c>
      <c r="EG26" s="171">
        <f t="shared" si="61"/>
        <v>131481.23634285713</v>
      </c>
      <c r="EH26" s="171">
        <f t="shared" si="62"/>
        <v>46018.43271999999</v>
      </c>
      <c r="EI26" s="171">
        <f t="shared" si="63"/>
        <v>0</v>
      </c>
      <c r="EJ26" s="173">
        <v>7861.6678899999997</v>
      </c>
      <c r="EK26" s="171">
        <f t="shared" si="64"/>
        <v>7861.6678899999997</v>
      </c>
      <c r="EL26" s="171">
        <v>7939</v>
      </c>
      <c r="EM26" s="171">
        <v>6733.7438199999997</v>
      </c>
      <c r="EN26" s="171">
        <f t="shared" si="16"/>
        <v>-1127.92407</v>
      </c>
      <c r="EO26" s="171">
        <f t="shared" si="65"/>
        <v>-14.347134549332893</v>
      </c>
      <c r="EV26" s="173">
        <v>2.5238900000000002</v>
      </c>
      <c r="EW26" s="171">
        <f t="shared" si="66"/>
        <v>2.5238900000000002</v>
      </c>
      <c r="EX26" s="313">
        <v>2</v>
      </c>
      <c r="EY26" s="171">
        <v>4.1919999999999999E-2</v>
      </c>
      <c r="EZ26" s="171">
        <f t="shared" si="17"/>
        <v>-2.48197</v>
      </c>
      <c r="FA26" s="171">
        <f t="shared" si="67"/>
        <v>-98.339071829596378</v>
      </c>
      <c r="FB26" s="173">
        <v>118.86864</v>
      </c>
      <c r="FC26" s="171">
        <f t="shared" si="68"/>
        <v>118.86864</v>
      </c>
      <c r="FD26" s="171">
        <v>104</v>
      </c>
      <c r="FE26" s="171">
        <v>42.633890000000001</v>
      </c>
      <c r="FF26" s="171">
        <f t="shared" si="69"/>
        <v>-76.234749999999991</v>
      </c>
      <c r="FG26" s="171">
        <f t="shared" si="70"/>
        <v>-64.133610008493406</v>
      </c>
      <c r="FH26" s="171">
        <v>18257.031609999947</v>
      </c>
      <c r="FI26" s="171">
        <v>9228.2856800000009</v>
      </c>
      <c r="FJ26" s="171">
        <v>26168.989419999998</v>
      </c>
      <c r="FK26" s="171">
        <v>7680.3602099999998</v>
      </c>
      <c r="FL26" s="171">
        <f t="shared" si="71"/>
        <v>7911.9578100000508</v>
      </c>
      <c r="FM26" s="171">
        <f t="shared" si="72"/>
        <v>-1547.925470000001</v>
      </c>
      <c r="FN26" s="171">
        <v>4042.9435699999999</v>
      </c>
      <c r="FO26" s="171">
        <v>4042.9435699999999</v>
      </c>
      <c r="FP26" s="171">
        <v>2697.6562199999998</v>
      </c>
      <c r="FQ26" s="171">
        <v>2697.6562199999998</v>
      </c>
      <c r="FR26" s="171">
        <f t="shared" si="73"/>
        <v>-1345.2873500000001</v>
      </c>
      <c r="FS26" s="171">
        <f t="shared" si="74"/>
        <v>-1345.2873500000001</v>
      </c>
      <c r="FT26" s="171">
        <v>5165.9710999999998</v>
      </c>
      <c r="FU26" s="171">
        <v>5165.9710999999998</v>
      </c>
      <c r="FV26" s="171">
        <v>47.956789999999998</v>
      </c>
      <c r="FW26" s="171">
        <v>47.956789999999998</v>
      </c>
      <c r="FX26" s="171">
        <f t="shared" si="75"/>
        <v>-5118.0143099999996</v>
      </c>
      <c r="FY26" s="171">
        <f t="shared" si="76"/>
        <v>-5118.0143099999996</v>
      </c>
      <c r="FZ26" s="171">
        <v>0</v>
      </c>
      <c r="GA26" s="171">
        <v>0</v>
      </c>
      <c r="GB26" s="171">
        <v>4028.32395</v>
      </c>
      <c r="GC26" s="171">
        <v>4028.32395</v>
      </c>
      <c r="GD26" s="171">
        <f t="shared" si="77"/>
        <v>4028.32395</v>
      </c>
      <c r="GE26" s="171">
        <f t="shared" si="78"/>
        <v>4028.32395</v>
      </c>
      <c r="GJ26" s="171">
        <f t="shared" si="79"/>
        <v>0</v>
      </c>
      <c r="GK26" s="171">
        <f t="shared" si="80"/>
        <v>0</v>
      </c>
      <c r="GL26" s="171">
        <v>0</v>
      </c>
      <c r="GM26" s="171">
        <v>0</v>
      </c>
      <c r="GN26" s="171">
        <v>809.71505000000002</v>
      </c>
      <c r="GO26" s="171">
        <v>809.71505000000002</v>
      </c>
      <c r="GP26" s="171">
        <f t="shared" si="81"/>
        <v>809.71505000000002</v>
      </c>
      <c r="GQ26" s="171">
        <f t="shared" si="82"/>
        <v>809.71505000000002</v>
      </c>
      <c r="GV26" s="171">
        <f t="shared" si="83"/>
        <v>0</v>
      </c>
      <c r="GW26" s="171">
        <f t="shared" si="84"/>
        <v>0</v>
      </c>
      <c r="HB26" s="171">
        <f t="shared" si="85"/>
        <v>0</v>
      </c>
      <c r="HC26" s="171">
        <f t="shared" si="86"/>
        <v>0</v>
      </c>
      <c r="HH26" s="171">
        <f t="shared" si="87"/>
        <v>0</v>
      </c>
      <c r="HI26" s="171">
        <f t="shared" si="88"/>
        <v>0</v>
      </c>
      <c r="HN26" s="171">
        <f t="shared" si="89"/>
        <v>0</v>
      </c>
      <c r="HO26" s="171">
        <f t="shared" si="90"/>
        <v>0</v>
      </c>
      <c r="HP26" s="171">
        <v>0</v>
      </c>
      <c r="HQ26" s="171">
        <v>0</v>
      </c>
      <c r="HR26" s="171">
        <v>77.319999999999993</v>
      </c>
      <c r="HS26" s="171">
        <v>77.319999999999993</v>
      </c>
      <c r="HT26" s="171">
        <f t="shared" si="91"/>
        <v>77.319999999999993</v>
      </c>
      <c r="HU26" s="171">
        <f t="shared" si="92"/>
        <v>77.319999999999993</v>
      </c>
      <c r="HV26" s="171">
        <v>0.8246</v>
      </c>
      <c r="HW26" s="171">
        <v>0.8246</v>
      </c>
      <c r="HX26" s="171">
        <v>1.1413800000000001</v>
      </c>
      <c r="HY26" s="171">
        <v>1.1413800000000001</v>
      </c>
      <c r="HZ26" s="171">
        <f t="shared" si="93"/>
        <v>0.31678000000000006</v>
      </c>
      <c r="IA26" s="171">
        <f t="shared" si="94"/>
        <v>0.31678000000000006</v>
      </c>
      <c r="IB26" s="171">
        <v>0</v>
      </c>
      <c r="IC26" s="171">
        <v>0</v>
      </c>
      <c r="ID26" s="171">
        <v>0</v>
      </c>
      <c r="IE26" s="171">
        <v>0</v>
      </c>
      <c r="IF26" s="171">
        <f t="shared" si="95"/>
        <v>0</v>
      </c>
      <c r="IG26" s="171">
        <f t="shared" si="96"/>
        <v>0</v>
      </c>
      <c r="IH26" s="171">
        <v>0</v>
      </c>
      <c r="II26" s="171">
        <v>0</v>
      </c>
      <c r="IJ26" s="171">
        <v>0</v>
      </c>
      <c r="IK26" s="171">
        <v>0</v>
      </c>
      <c r="IL26" s="171">
        <f t="shared" si="97"/>
        <v>0</v>
      </c>
      <c r="IM26" s="171">
        <f t="shared" si="98"/>
        <v>0</v>
      </c>
      <c r="IN26" s="171">
        <v>0</v>
      </c>
      <c r="IO26" s="171">
        <v>0</v>
      </c>
      <c r="IP26" s="171">
        <v>0</v>
      </c>
      <c r="IQ26" s="171">
        <v>0</v>
      </c>
      <c r="IR26" s="171">
        <f t="shared" si="99"/>
        <v>0</v>
      </c>
      <c r="IS26" s="171">
        <f t="shared" si="100"/>
        <v>0</v>
      </c>
      <c r="IT26" s="171">
        <v>6083.8021899999985</v>
      </c>
      <c r="IU26" s="171">
        <v>0</v>
      </c>
      <c r="IV26" s="171">
        <v>6544.2101500000008</v>
      </c>
      <c r="IW26" s="171">
        <v>9.1499999999999998E-2</v>
      </c>
      <c r="IX26" s="171">
        <f t="shared" si="101"/>
        <v>460.40796000000228</v>
      </c>
      <c r="IY26" s="171">
        <f t="shared" si="102"/>
        <v>9.1499999999999998E-2</v>
      </c>
      <c r="JB26" s="171">
        <f t="shared" si="103"/>
        <v>0</v>
      </c>
      <c r="JE26" s="171">
        <f t="shared" si="104"/>
        <v>0</v>
      </c>
      <c r="JF26" s="171">
        <v>0</v>
      </c>
      <c r="JG26" s="171">
        <v>0</v>
      </c>
      <c r="JH26" s="171">
        <f t="shared" si="105"/>
        <v>0</v>
      </c>
      <c r="JI26" s="171">
        <v>0</v>
      </c>
      <c r="JJ26" s="171">
        <v>0</v>
      </c>
      <c r="JK26" s="171">
        <f t="shared" si="106"/>
        <v>0</v>
      </c>
      <c r="JL26" s="171">
        <v>0</v>
      </c>
      <c r="JM26" s="171">
        <v>0</v>
      </c>
      <c r="JN26" s="171">
        <f t="shared" si="107"/>
        <v>0</v>
      </c>
      <c r="JO26" s="171">
        <v>0</v>
      </c>
      <c r="JP26" s="171">
        <v>0</v>
      </c>
      <c r="JQ26" s="171">
        <f t="shared" si="108"/>
        <v>0</v>
      </c>
      <c r="JR26" s="171">
        <v>0</v>
      </c>
      <c r="JS26" s="171">
        <v>0</v>
      </c>
      <c r="JT26" s="171">
        <f t="shared" si="109"/>
        <v>0</v>
      </c>
      <c r="JU26" s="171">
        <v>0</v>
      </c>
      <c r="JV26" s="171">
        <v>0</v>
      </c>
      <c r="JW26" s="171">
        <f t="shared" si="110"/>
        <v>0</v>
      </c>
      <c r="JX26" s="171">
        <v>0</v>
      </c>
      <c r="JY26" s="171">
        <v>0</v>
      </c>
      <c r="JZ26" s="171">
        <f t="shared" si="111"/>
        <v>0</v>
      </c>
      <c r="KA26" s="171">
        <v>5263.4674999999997</v>
      </c>
      <c r="KC26" s="171">
        <v>5616.69146</v>
      </c>
      <c r="KE26" s="171">
        <f t="shared" si="112"/>
        <v>353.22396000000026</v>
      </c>
      <c r="KF26" s="171">
        <f t="shared" si="113"/>
        <v>0</v>
      </c>
      <c r="KG26" s="171">
        <f>KD26/KC26%</f>
        <v>0</v>
      </c>
    </row>
    <row r="27" spans="1:293" s="171" customFormat="1" x14ac:dyDescent="0.25">
      <c r="A27" s="169" t="s">
        <v>171</v>
      </c>
      <c r="B27" s="170">
        <v>10417237.1</v>
      </c>
      <c r="C27" s="170">
        <v>0</v>
      </c>
      <c r="D27" s="170">
        <v>0</v>
      </c>
      <c r="E27" s="170">
        <v>0</v>
      </c>
      <c r="F27" s="171">
        <f t="shared" si="19"/>
        <v>10417237.1</v>
      </c>
      <c r="G27" s="170">
        <v>12411756.03916</v>
      </c>
      <c r="H27" s="170">
        <v>0</v>
      </c>
      <c r="I27" s="170">
        <v>0</v>
      </c>
      <c r="J27" s="170">
        <v>0</v>
      </c>
      <c r="K27" s="171">
        <f t="shared" si="20"/>
        <v>12411756.03916</v>
      </c>
      <c r="L27" s="170">
        <v>0</v>
      </c>
      <c r="M27" s="170">
        <v>0</v>
      </c>
      <c r="N27" s="170">
        <v>0</v>
      </c>
      <c r="O27" s="171">
        <f t="shared" si="21"/>
        <v>0</v>
      </c>
      <c r="P27" s="170">
        <v>0</v>
      </c>
      <c r="Q27" s="170">
        <v>0</v>
      </c>
      <c r="R27" s="170">
        <v>0</v>
      </c>
      <c r="S27" s="171">
        <f t="shared" si="22"/>
        <v>0</v>
      </c>
      <c r="T27" s="170">
        <v>12714616.97508</v>
      </c>
      <c r="U27" s="170">
        <v>0</v>
      </c>
      <c r="V27" s="170">
        <v>0</v>
      </c>
      <c r="W27" s="170">
        <v>0</v>
      </c>
      <c r="X27" s="171">
        <f t="shared" si="23"/>
        <v>12714616.97508</v>
      </c>
      <c r="Y27" s="170">
        <v>12267967.35069</v>
      </c>
      <c r="Z27" s="170">
        <v>0</v>
      </c>
      <c r="AA27" s="170">
        <v>0</v>
      </c>
      <c r="AB27" s="170">
        <v>0</v>
      </c>
      <c r="AC27" s="171">
        <f t="shared" si="24"/>
        <v>12267967.35069</v>
      </c>
      <c r="AD27" s="171">
        <f t="shared" si="25"/>
        <v>10417237.1</v>
      </c>
      <c r="AE27" s="171">
        <f t="shared" si="0"/>
        <v>12411756.03916</v>
      </c>
      <c r="AF27" s="171">
        <f t="shared" si="26"/>
        <v>119.1463333320886</v>
      </c>
      <c r="AG27" s="172">
        <v>10417237</v>
      </c>
      <c r="AH27" s="172">
        <f t="shared" si="27"/>
        <v>-9.999999962747097E-2</v>
      </c>
      <c r="AI27" s="172">
        <v>12411756</v>
      </c>
      <c r="AJ27" s="172">
        <f t="shared" si="28"/>
        <v>-3.9160000160336494E-2</v>
      </c>
      <c r="AK27" s="171">
        <f t="shared" si="1"/>
        <v>12714616.97508</v>
      </c>
      <c r="AL27" s="171">
        <f t="shared" si="2"/>
        <v>12267967.35069</v>
      </c>
      <c r="AM27" s="171">
        <f t="shared" si="29"/>
        <v>96.487116951573043</v>
      </c>
      <c r="AN27" s="173">
        <v>-504401.8</v>
      </c>
      <c r="AO27" s="173">
        <v>0</v>
      </c>
      <c r="AP27" s="173">
        <v>0</v>
      </c>
      <c r="AQ27" s="173">
        <v>0</v>
      </c>
      <c r="AR27" s="171">
        <f t="shared" si="30"/>
        <v>-504401.8</v>
      </c>
      <c r="AS27" s="173">
        <v>143788.68846999999</v>
      </c>
      <c r="AT27" s="173">
        <v>0</v>
      </c>
      <c r="AU27" s="173">
        <v>0</v>
      </c>
      <c r="AV27" s="173">
        <v>0</v>
      </c>
      <c r="AW27" s="171">
        <f t="shared" si="31"/>
        <v>143788.68846999999</v>
      </c>
      <c r="AX27" s="170">
        <v>5584178.2999999998</v>
      </c>
      <c r="AY27" s="170">
        <v>0</v>
      </c>
      <c r="AZ27" s="170">
        <v>0</v>
      </c>
      <c r="BA27" s="170">
        <v>0</v>
      </c>
      <c r="BB27" s="312">
        <f t="shared" si="32"/>
        <v>0</v>
      </c>
      <c r="BC27" s="171">
        <f t="shared" si="33"/>
        <v>5584178.2999999998</v>
      </c>
      <c r="BD27" s="170">
        <v>7203347.9994200002</v>
      </c>
      <c r="BE27" s="170">
        <v>0</v>
      </c>
      <c r="BF27" s="170">
        <v>0</v>
      </c>
      <c r="BG27" s="170">
        <v>0</v>
      </c>
      <c r="BH27" s="312">
        <f t="shared" si="3"/>
        <v>0</v>
      </c>
      <c r="BI27" s="171">
        <f t="shared" si="34"/>
        <v>7203347.9994200002</v>
      </c>
      <c r="BJ27" s="171">
        <f t="shared" si="4"/>
        <v>5584178.2999999998</v>
      </c>
      <c r="BK27" s="171">
        <f t="shared" si="5"/>
        <v>7203347.9994200002</v>
      </c>
      <c r="BL27" s="171">
        <f t="shared" si="35"/>
        <v>128.99566619174752</v>
      </c>
      <c r="BM27" s="170">
        <v>4833058.8</v>
      </c>
      <c r="BN27" s="170">
        <v>0</v>
      </c>
      <c r="BO27" s="170">
        <v>0</v>
      </c>
      <c r="BP27" s="170">
        <v>0</v>
      </c>
      <c r="BQ27" s="171">
        <f t="shared" si="36"/>
        <v>4833058.8</v>
      </c>
      <c r="BR27" s="171">
        <f t="shared" si="6"/>
        <v>4833058.8</v>
      </c>
      <c r="BS27" s="170">
        <v>5215184.3695299998</v>
      </c>
      <c r="BT27" s="170">
        <v>0</v>
      </c>
      <c r="BU27" s="170">
        <v>0</v>
      </c>
      <c r="BV27" s="170">
        <v>0</v>
      </c>
      <c r="BW27" s="171">
        <f t="shared" si="37"/>
        <v>5215184.3695299998</v>
      </c>
      <c r="BX27" s="171">
        <f t="shared" si="7"/>
        <v>5215184.3695299998</v>
      </c>
      <c r="BY27" s="171">
        <v>525143.92880999995</v>
      </c>
      <c r="BZ27" s="173">
        <v>413156</v>
      </c>
      <c r="CA27" s="171">
        <f t="shared" si="38"/>
        <v>413156</v>
      </c>
      <c r="CB27" s="173">
        <v>417107.77246000001</v>
      </c>
      <c r="CC27" s="171">
        <f t="shared" si="38"/>
        <v>417107.77246000001</v>
      </c>
      <c r="CD27" s="171">
        <f t="shared" si="8"/>
        <v>100.95648434489635</v>
      </c>
      <c r="CE27" s="171">
        <f t="shared" si="39"/>
        <v>-20.572675493900263</v>
      </c>
      <c r="CF27" s="173">
        <v>73166.02</v>
      </c>
      <c r="CG27" s="171">
        <f t="shared" si="40"/>
        <v>73166.02</v>
      </c>
      <c r="CH27" s="269">
        <v>81112.102400000003</v>
      </c>
      <c r="CI27" s="171">
        <f t="shared" si="41"/>
        <v>81112.102400000003</v>
      </c>
      <c r="CJ27" s="171">
        <f t="shared" si="9"/>
        <v>110.86034528050043</v>
      </c>
      <c r="CK27" s="173">
        <v>273675</v>
      </c>
      <c r="CL27" s="171">
        <f t="shared" si="42"/>
        <v>273675</v>
      </c>
      <c r="CM27" s="173">
        <v>299295.73108</v>
      </c>
      <c r="CN27" s="171">
        <f t="shared" si="43"/>
        <v>299295.73108</v>
      </c>
      <c r="CO27" s="173">
        <v>283594.77234000002</v>
      </c>
      <c r="CP27" s="171">
        <f t="shared" si="44"/>
        <v>283594.77234000002</v>
      </c>
      <c r="CQ27" s="171">
        <f t="shared" si="10"/>
        <v>103.62465418470815</v>
      </c>
      <c r="CR27" s="171">
        <f t="shared" si="45"/>
        <v>-15700.958739999973</v>
      </c>
      <c r="CS27" s="171">
        <f t="shared" si="46"/>
        <v>-5.2459681544215471</v>
      </c>
      <c r="CT27" s="171">
        <v>666904.20097999997</v>
      </c>
      <c r="CU27" s="173">
        <v>389104.12300000002</v>
      </c>
      <c r="CV27" s="171">
        <f t="shared" si="47"/>
        <v>389104.12300000002</v>
      </c>
      <c r="CW27" s="173">
        <v>422013.43037999998</v>
      </c>
      <c r="CX27" s="171">
        <f t="shared" ref="CX27" si="131">(CW27)</f>
        <v>422013.43037999998</v>
      </c>
      <c r="CY27" s="171">
        <f t="shared" si="11"/>
        <v>108.45771232807007</v>
      </c>
      <c r="CZ27" s="171">
        <f t="shared" si="49"/>
        <v>-36.72053201046549</v>
      </c>
      <c r="DA27" s="171">
        <v>382097.01351000002</v>
      </c>
      <c r="DB27" s="171">
        <v>15785.59137</v>
      </c>
      <c r="DC27" s="173">
        <v>525885.70198000001</v>
      </c>
      <c r="DD27" s="171">
        <f t="shared" si="50"/>
        <v>525885.70198000001</v>
      </c>
      <c r="DE27" s="173">
        <v>40632.071360000002</v>
      </c>
      <c r="DF27" s="171">
        <f t="shared" si="51"/>
        <v>40632.071360000002</v>
      </c>
      <c r="DG27" s="171">
        <f t="shared" si="12"/>
        <v>143788.68846999999</v>
      </c>
      <c r="DH27" s="171">
        <f t="shared" si="13"/>
        <v>24846.47999</v>
      </c>
      <c r="DI27" s="171">
        <v>1499000</v>
      </c>
      <c r="DJ27" s="174">
        <v>1499000</v>
      </c>
      <c r="DK27" s="171">
        <f t="shared" si="52"/>
        <v>0</v>
      </c>
      <c r="DL27" s="170">
        <v>5584178.2999999998</v>
      </c>
      <c r="DM27" s="170">
        <v>0</v>
      </c>
      <c r="DN27" s="170">
        <v>0</v>
      </c>
      <c r="DO27" s="170">
        <v>0</v>
      </c>
      <c r="DP27" s="171">
        <f t="shared" si="53"/>
        <v>5584178.2999999998</v>
      </c>
      <c r="DQ27" s="170">
        <v>7196571.6696300004</v>
      </c>
      <c r="DR27" s="170">
        <v>0</v>
      </c>
      <c r="DS27" s="170">
        <v>0</v>
      </c>
      <c r="DT27" s="170">
        <v>0</v>
      </c>
      <c r="DU27" s="171">
        <f t="shared" si="54"/>
        <v>7196571.6696300004</v>
      </c>
      <c r="DV27" s="174">
        <f t="shared" si="14"/>
        <v>5584178.2999999998</v>
      </c>
      <c r="DW27" s="174">
        <f t="shared" si="15"/>
        <v>7196571.6696300004</v>
      </c>
      <c r="DX27" s="171">
        <f t="shared" si="55"/>
        <v>128.87431745562282</v>
      </c>
      <c r="DY27" s="170">
        <v>3405928.2</v>
      </c>
      <c r="DZ27" s="171">
        <f t="shared" si="56"/>
        <v>3405928.2</v>
      </c>
      <c r="EA27" s="317">
        <v>36.5</v>
      </c>
      <c r="EB27" s="171">
        <f t="shared" si="57"/>
        <v>9331310.1369863022</v>
      </c>
      <c r="EC27" s="171">
        <f>EB27*36.5%</f>
        <v>3405928.2</v>
      </c>
      <c r="ED27" s="171">
        <f t="shared" si="59"/>
        <v>0</v>
      </c>
      <c r="EE27" s="170">
        <v>3669148.91016</v>
      </c>
      <c r="EF27" s="171">
        <f t="shared" si="60"/>
        <v>3669148.91016</v>
      </c>
      <c r="EG27" s="171">
        <f t="shared" si="61"/>
        <v>10052462.767561642</v>
      </c>
      <c r="EH27" s="171">
        <f>EG27*36.5%</f>
        <v>3669148.9101599995</v>
      </c>
      <c r="EI27" s="171">
        <f t="shared" si="63"/>
        <v>0</v>
      </c>
      <c r="EJ27" s="173">
        <v>405187.78363000002</v>
      </c>
      <c r="EK27" s="171">
        <f t="shared" si="64"/>
        <v>405187.78363000002</v>
      </c>
      <c r="EL27" s="171">
        <v>260200</v>
      </c>
      <c r="EM27" s="171">
        <v>262665.55755000003</v>
      </c>
      <c r="EN27" s="171">
        <f t="shared" si="16"/>
        <v>-142522.22607999999</v>
      </c>
      <c r="EO27" s="171">
        <f t="shared" si="65"/>
        <v>-35.174364045028838</v>
      </c>
      <c r="EV27" s="173">
        <v>93018.908880000003</v>
      </c>
      <c r="EW27" s="171">
        <f t="shared" si="66"/>
        <v>93018.908880000003</v>
      </c>
      <c r="EX27" s="313">
        <v>147265</v>
      </c>
      <c r="EY27" s="171">
        <v>147300.36381000001</v>
      </c>
      <c r="EZ27" s="171">
        <f t="shared" si="17"/>
        <v>54281.454930000007</v>
      </c>
      <c r="FA27" s="171">
        <f t="shared" si="67"/>
        <v>58.35529096565341</v>
      </c>
      <c r="FB27" s="173">
        <v>26937.2363</v>
      </c>
      <c r="FC27" s="171">
        <f t="shared" si="68"/>
        <v>26937.2363</v>
      </c>
      <c r="FD27" s="171">
        <v>5691</v>
      </c>
      <c r="FE27" s="171">
        <v>7141.8510999999999</v>
      </c>
      <c r="FF27" s="171">
        <f t="shared" si="69"/>
        <v>-19795.385200000001</v>
      </c>
      <c r="FG27" s="171">
        <f t="shared" si="70"/>
        <v>-73.487068159252857</v>
      </c>
      <c r="FH27" s="171">
        <v>3811449.8711800026</v>
      </c>
      <c r="FI27" s="171">
        <v>1704058.3962099999</v>
      </c>
      <c r="FJ27" s="171">
        <v>2616380.5683099991</v>
      </c>
      <c r="FK27" s="171">
        <v>502820.86349999998</v>
      </c>
      <c r="FL27" s="171">
        <f t="shared" si="71"/>
        <v>-1195069.3028700035</v>
      </c>
      <c r="FM27" s="171">
        <f t="shared" si="72"/>
        <v>-1201237.5327099999</v>
      </c>
      <c r="FN27" s="171">
        <v>313100.04060000001</v>
      </c>
      <c r="FO27" s="171">
        <v>313100.04060000001</v>
      </c>
      <c r="FP27" s="171">
        <v>96718.716809999998</v>
      </c>
      <c r="FQ27" s="171">
        <v>96669.418810000003</v>
      </c>
      <c r="FR27" s="171">
        <f t="shared" si="73"/>
        <v>-216381.32378999999</v>
      </c>
      <c r="FS27" s="171">
        <f t="shared" si="74"/>
        <v>-216430.62179</v>
      </c>
      <c r="FT27" s="171">
        <v>459107.53940000001</v>
      </c>
      <c r="FU27" s="171">
        <v>15774.37444</v>
      </c>
      <c r="FV27" s="171">
        <v>378253.03573</v>
      </c>
      <c r="FW27" s="171">
        <v>15584.326489999999</v>
      </c>
      <c r="FX27" s="171">
        <f t="shared" si="75"/>
        <v>-80854.503670000006</v>
      </c>
      <c r="FY27" s="171">
        <f t="shared" si="76"/>
        <v>-190.04795000000013</v>
      </c>
      <c r="FZ27" s="171">
        <v>987083.69443999999</v>
      </c>
      <c r="GA27" s="171">
        <v>176834.55093</v>
      </c>
      <c r="GB27" s="171">
        <v>770838.29004999995</v>
      </c>
      <c r="GC27" s="171">
        <v>179297.35962</v>
      </c>
      <c r="GD27" s="171">
        <f t="shared" si="77"/>
        <v>-216245.40439000004</v>
      </c>
      <c r="GE27" s="171">
        <f t="shared" si="78"/>
        <v>2462.8086900000053</v>
      </c>
      <c r="GJ27" s="171">
        <f t="shared" si="79"/>
        <v>0</v>
      </c>
      <c r="GK27" s="171">
        <f t="shared" si="80"/>
        <v>0</v>
      </c>
      <c r="GL27" s="171">
        <v>124829.91293999999</v>
      </c>
      <c r="GM27" s="171">
        <v>109623.41052</v>
      </c>
      <c r="GN27" s="171">
        <v>129534.92972</v>
      </c>
      <c r="GO27" s="171">
        <v>115116.39582999999</v>
      </c>
      <c r="GP27" s="171">
        <f t="shared" si="81"/>
        <v>4705.0167800000054</v>
      </c>
      <c r="GQ27" s="171">
        <f t="shared" si="82"/>
        <v>5492.9853099999891</v>
      </c>
      <c r="GV27" s="171">
        <f t="shared" si="83"/>
        <v>0</v>
      </c>
      <c r="GW27" s="171">
        <f t="shared" si="84"/>
        <v>0</v>
      </c>
      <c r="HB27" s="171">
        <f t="shared" si="85"/>
        <v>0</v>
      </c>
      <c r="HC27" s="171">
        <f t="shared" si="86"/>
        <v>0</v>
      </c>
      <c r="HH27" s="171">
        <f t="shared" si="87"/>
        <v>0</v>
      </c>
      <c r="HI27" s="171">
        <f t="shared" si="88"/>
        <v>0</v>
      </c>
      <c r="HN27" s="171">
        <f t="shared" si="89"/>
        <v>0</v>
      </c>
      <c r="HO27" s="171">
        <f t="shared" si="90"/>
        <v>0</v>
      </c>
      <c r="HP27" s="171">
        <v>1176436.48358</v>
      </c>
      <c r="HQ27" s="171">
        <v>908455.38046999997</v>
      </c>
      <c r="HR27" s="171">
        <v>270189.06819000002</v>
      </c>
      <c r="HS27" s="171">
        <v>12883.75914</v>
      </c>
      <c r="HT27" s="171">
        <f t="shared" si="91"/>
        <v>-906247.41538999998</v>
      </c>
      <c r="HU27" s="171">
        <f t="shared" si="92"/>
        <v>-895571.62132999999</v>
      </c>
      <c r="HV27" s="171">
        <v>308995.14529999997</v>
      </c>
      <c r="HW27" s="171">
        <v>2160.1267699999999</v>
      </c>
      <c r="HX27" s="171">
        <v>272156.92306</v>
      </c>
      <c r="HY27" s="171">
        <v>2500.3297400000001</v>
      </c>
      <c r="HZ27" s="171">
        <f t="shared" si="93"/>
        <v>-36838.222239999974</v>
      </c>
      <c r="IA27" s="171">
        <f t="shared" si="94"/>
        <v>340.20297000000028</v>
      </c>
      <c r="IB27" s="171">
        <v>34322.461080000001</v>
      </c>
      <c r="IC27" s="171">
        <v>27915.221809999999</v>
      </c>
      <c r="ID27" s="171">
        <v>254660.38133</v>
      </c>
      <c r="IE27" s="171">
        <v>23288.581730000002</v>
      </c>
      <c r="IF27" s="171">
        <f t="shared" si="95"/>
        <v>220337.92025</v>
      </c>
      <c r="IG27" s="171">
        <f t="shared" si="96"/>
        <v>-4626.6400799999974</v>
      </c>
      <c r="IH27" s="171">
        <v>0</v>
      </c>
      <c r="II27" s="171">
        <v>0</v>
      </c>
      <c r="IJ27" s="171">
        <v>0</v>
      </c>
      <c r="IK27" s="171">
        <v>0</v>
      </c>
      <c r="IL27" s="171">
        <f t="shared" si="97"/>
        <v>0</v>
      </c>
      <c r="IM27" s="171">
        <f t="shared" si="98"/>
        <v>0</v>
      </c>
      <c r="IN27" s="171">
        <v>146721.66691</v>
      </c>
      <c r="IO27" s="171">
        <v>131169.11047000001</v>
      </c>
      <c r="IP27" s="171">
        <v>201939.05619999999</v>
      </c>
      <c r="IQ27" s="171">
        <v>45622.251929999999</v>
      </c>
      <c r="IR27" s="171">
        <f t="shared" si="99"/>
        <v>55217.389289999992</v>
      </c>
      <c r="IS27" s="171">
        <f t="shared" si="100"/>
        <v>-85546.858540000016</v>
      </c>
      <c r="IT27" s="171">
        <v>205555.58854</v>
      </c>
      <c r="IU27" s="171">
        <v>1380.6904999999999</v>
      </c>
      <c r="IV27" s="171">
        <v>245339.41950999998</v>
      </c>
      <c r="IW27" s="171">
        <v>64.650980000000004</v>
      </c>
      <c r="IX27" s="171">
        <f t="shared" si="101"/>
        <v>39783.830969999981</v>
      </c>
      <c r="IY27" s="171">
        <f t="shared" si="102"/>
        <v>-1316.0395199999998</v>
      </c>
      <c r="JB27" s="171">
        <f t="shared" si="103"/>
        <v>0</v>
      </c>
      <c r="JE27" s="171">
        <f t="shared" si="104"/>
        <v>0</v>
      </c>
      <c r="JF27" s="171">
        <v>0</v>
      </c>
      <c r="JG27" s="171">
        <v>0.05</v>
      </c>
      <c r="JH27" s="171">
        <f t="shared" si="105"/>
        <v>0.05</v>
      </c>
      <c r="JI27" s="171">
        <v>0</v>
      </c>
      <c r="JJ27" s="171">
        <v>0</v>
      </c>
      <c r="JK27" s="171">
        <f t="shared" si="106"/>
        <v>0</v>
      </c>
      <c r="JL27" s="171">
        <v>0</v>
      </c>
      <c r="JM27" s="171">
        <v>0</v>
      </c>
      <c r="JN27" s="171">
        <f t="shared" si="107"/>
        <v>0</v>
      </c>
      <c r="JO27" s="171">
        <v>0</v>
      </c>
      <c r="JP27" s="171">
        <v>0</v>
      </c>
      <c r="JQ27" s="171">
        <f t="shared" si="108"/>
        <v>0</v>
      </c>
      <c r="JR27" s="171">
        <v>0</v>
      </c>
      <c r="JS27" s="171">
        <v>0</v>
      </c>
      <c r="JT27" s="171">
        <f t="shared" si="109"/>
        <v>0</v>
      </c>
      <c r="JU27" s="171">
        <v>0</v>
      </c>
      <c r="JV27" s="171">
        <v>0</v>
      </c>
      <c r="JW27" s="171">
        <f t="shared" si="110"/>
        <v>0</v>
      </c>
      <c r="JX27" s="171">
        <v>1006.93539</v>
      </c>
      <c r="JY27" s="171">
        <v>0</v>
      </c>
      <c r="JZ27" s="171">
        <f t="shared" si="111"/>
        <v>-1006.93539</v>
      </c>
      <c r="KA27" s="171">
        <v>152118.65541000001</v>
      </c>
      <c r="KC27" s="171">
        <v>138762.29592999999</v>
      </c>
      <c r="KE27" s="171">
        <f t="shared" si="112"/>
        <v>-13356.359480000014</v>
      </c>
      <c r="KF27" s="171">
        <f t="shared" si="113"/>
        <v>0</v>
      </c>
    </row>
    <row r="28" spans="1:293" s="171" customFormat="1" x14ac:dyDescent="0.25">
      <c r="A28" s="169" t="s">
        <v>172</v>
      </c>
      <c r="B28" s="170">
        <v>8759464.2597800009</v>
      </c>
      <c r="C28" s="170">
        <v>0</v>
      </c>
      <c r="D28" s="170">
        <v>0</v>
      </c>
      <c r="E28" s="170">
        <v>0</v>
      </c>
      <c r="F28" s="171">
        <f t="shared" si="19"/>
        <v>8759464.2597800009</v>
      </c>
      <c r="G28" s="170">
        <v>8386685.2816599999</v>
      </c>
      <c r="H28" s="170">
        <v>0</v>
      </c>
      <c r="I28" s="170">
        <v>0</v>
      </c>
      <c r="J28" s="170">
        <v>0</v>
      </c>
      <c r="K28" s="171">
        <f t="shared" si="20"/>
        <v>8386685.2816599999</v>
      </c>
      <c r="L28" s="170">
        <v>0</v>
      </c>
      <c r="M28" s="170">
        <v>0</v>
      </c>
      <c r="N28" s="170">
        <v>0</v>
      </c>
      <c r="O28" s="171">
        <f t="shared" si="21"/>
        <v>0</v>
      </c>
      <c r="P28" s="170">
        <v>0</v>
      </c>
      <c r="Q28" s="170">
        <v>0</v>
      </c>
      <c r="R28" s="170">
        <v>0</v>
      </c>
      <c r="S28" s="171">
        <f t="shared" si="22"/>
        <v>0</v>
      </c>
      <c r="T28" s="170">
        <v>9267132.7827400006</v>
      </c>
      <c r="U28" s="170">
        <v>0</v>
      </c>
      <c r="V28" s="170">
        <v>0</v>
      </c>
      <c r="W28" s="170">
        <v>0</v>
      </c>
      <c r="X28" s="171">
        <f t="shared" si="23"/>
        <v>9267132.7827400006</v>
      </c>
      <c r="Y28" s="170">
        <v>8712477.7302700002</v>
      </c>
      <c r="Z28" s="170">
        <v>0</v>
      </c>
      <c r="AA28" s="170">
        <v>0</v>
      </c>
      <c r="AB28" s="170">
        <v>0</v>
      </c>
      <c r="AC28" s="171">
        <f t="shared" si="24"/>
        <v>8712477.7302700002</v>
      </c>
      <c r="AD28" s="171">
        <f t="shared" si="25"/>
        <v>8759464.2597800009</v>
      </c>
      <c r="AE28" s="171">
        <f t="shared" si="0"/>
        <v>8386685.2816599999</v>
      </c>
      <c r="AF28" s="171">
        <f t="shared" si="26"/>
        <v>95.744271943300745</v>
      </c>
      <c r="AG28" s="172">
        <v>8759464</v>
      </c>
      <c r="AH28" s="172">
        <f t="shared" si="27"/>
        <v>-0.25978000089526176</v>
      </c>
      <c r="AI28" s="172">
        <v>8386685</v>
      </c>
      <c r="AJ28" s="172">
        <f t="shared" si="28"/>
        <v>-0.28165999986231327</v>
      </c>
      <c r="AK28" s="171">
        <f t="shared" si="1"/>
        <v>9267132.7827400006</v>
      </c>
      <c r="AL28" s="171">
        <f t="shared" si="2"/>
        <v>8712477.7302700002</v>
      </c>
      <c r="AM28" s="171">
        <f t="shared" si="29"/>
        <v>94.014814878847503</v>
      </c>
      <c r="AN28" s="173">
        <v>-507668.52295999997</v>
      </c>
      <c r="AO28" s="173">
        <v>0</v>
      </c>
      <c r="AP28" s="173">
        <v>0</v>
      </c>
      <c r="AQ28" s="173">
        <v>0</v>
      </c>
      <c r="AR28" s="171">
        <f t="shared" si="30"/>
        <v>-507668.52295999997</v>
      </c>
      <c r="AS28" s="173">
        <v>-325792.44861000002</v>
      </c>
      <c r="AT28" s="173">
        <v>0</v>
      </c>
      <c r="AU28" s="173">
        <v>0</v>
      </c>
      <c r="AV28" s="173">
        <v>0</v>
      </c>
      <c r="AW28" s="171">
        <f t="shared" si="31"/>
        <v>-325792.44861000002</v>
      </c>
      <c r="AX28" s="170">
        <v>5074361.4304799996</v>
      </c>
      <c r="AY28" s="170">
        <v>0</v>
      </c>
      <c r="AZ28" s="170">
        <v>0</v>
      </c>
      <c r="BA28" s="170">
        <v>0</v>
      </c>
      <c r="BB28" s="312">
        <f t="shared" si="32"/>
        <v>0</v>
      </c>
      <c r="BC28" s="171">
        <f t="shared" si="33"/>
        <v>5074361.4304799996</v>
      </c>
      <c r="BD28" s="170">
        <v>4701694.4807900004</v>
      </c>
      <c r="BE28" s="170">
        <v>0</v>
      </c>
      <c r="BF28" s="170">
        <v>0</v>
      </c>
      <c r="BG28" s="170">
        <v>0</v>
      </c>
      <c r="BH28" s="312">
        <f t="shared" si="3"/>
        <v>0</v>
      </c>
      <c r="BI28" s="171">
        <f t="shared" si="34"/>
        <v>4701694.4807900004</v>
      </c>
      <c r="BJ28" s="171">
        <f t="shared" si="4"/>
        <v>5074361.4304799996</v>
      </c>
      <c r="BK28" s="171">
        <f t="shared" si="5"/>
        <v>4701694.4807900004</v>
      </c>
      <c r="BL28" s="171">
        <f t="shared" si="35"/>
        <v>92.655884788743805</v>
      </c>
      <c r="BM28" s="170">
        <v>3674473.2015200001</v>
      </c>
      <c r="BN28" s="170">
        <v>0</v>
      </c>
      <c r="BO28" s="170">
        <v>0</v>
      </c>
      <c r="BP28" s="170">
        <v>0</v>
      </c>
      <c r="BQ28" s="171">
        <f t="shared" si="36"/>
        <v>3674473.2015200001</v>
      </c>
      <c r="BR28" s="171">
        <f t="shared" si="6"/>
        <v>3674473.2015200001</v>
      </c>
      <c r="BS28" s="170">
        <v>3680121.9987599999</v>
      </c>
      <c r="BT28" s="170">
        <v>0</v>
      </c>
      <c r="BU28" s="170">
        <v>0</v>
      </c>
      <c r="BV28" s="170">
        <v>0</v>
      </c>
      <c r="BW28" s="171">
        <f t="shared" si="37"/>
        <v>3680121.9987599999</v>
      </c>
      <c r="BX28" s="171">
        <f t="shared" si="7"/>
        <v>3680121.9987599999</v>
      </c>
      <c r="BY28" s="171">
        <v>151606.68118000001</v>
      </c>
      <c r="BZ28" s="173">
        <v>108539</v>
      </c>
      <c r="CA28" s="171">
        <f t="shared" si="38"/>
        <v>108539</v>
      </c>
      <c r="CB28" s="173">
        <v>109715.67354</v>
      </c>
      <c r="CC28" s="171">
        <f t="shared" si="38"/>
        <v>109715.67354</v>
      </c>
      <c r="CD28" s="171">
        <f t="shared" si="8"/>
        <v>101.08410206469563</v>
      </c>
      <c r="CE28" s="171">
        <f t="shared" si="39"/>
        <v>-27.631373046326061</v>
      </c>
      <c r="CF28" s="173">
        <v>125183.9981</v>
      </c>
      <c r="CG28" s="171">
        <f t="shared" si="40"/>
        <v>125183.9981</v>
      </c>
      <c r="CH28" s="269">
        <v>132121.21432</v>
      </c>
      <c r="CI28" s="171">
        <f t="shared" si="41"/>
        <v>132121.21432</v>
      </c>
      <c r="CJ28" s="171">
        <f t="shared" si="9"/>
        <v>105.54161580177234</v>
      </c>
      <c r="CK28" s="173">
        <v>160626</v>
      </c>
      <c r="CL28" s="171">
        <f t="shared" si="42"/>
        <v>160626</v>
      </c>
      <c r="CM28" s="173">
        <v>239316.85019</v>
      </c>
      <c r="CN28" s="171">
        <f t="shared" si="43"/>
        <v>239316.85019</v>
      </c>
      <c r="CO28" s="173">
        <v>147423.65616000001</v>
      </c>
      <c r="CP28" s="171">
        <f t="shared" si="44"/>
        <v>147423.65616000001</v>
      </c>
      <c r="CQ28" s="171">
        <f t="shared" si="10"/>
        <v>91.780693138097206</v>
      </c>
      <c r="CR28" s="171">
        <f t="shared" si="45"/>
        <v>-91893.194029999984</v>
      </c>
      <c r="CS28" s="171">
        <f t="shared" si="46"/>
        <v>-38.398129491109195</v>
      </c>
      <c r="CT28" s="171">
        <v>247899.87223000001</v>
      </c>
      <c r="CU28" s="173">
        <v>269577.08701999998</v>
      </c>
      <c r="CV28" s="171">
        <f t="shared" si="47"/>
        <v>269577.08701999998</v>
      </c>
      <c r="CW28" s="173">
        <v>263066.16531000001</v>
      </c>
      <c r="CX28" s="171">
        <f t="shared" ref="CX28" si="132">(CW28)</f>
        <v>263066.16531000001</v>
      </c>
      <c r="CY28" s="171">
        <f t="shared" si="11"/>
        <v>97.584764424167503</v>
      </c>
      <c r="CZ28" s="171">
        <f t="shared" si="49"/>
        <v>6.1179108095419963</v>
      </c>
      <c r="DA28" s="171">
        <v>128206.98957000001</v>
      </c>
      <c r="DB28" s="171">
        <v>3971.47541</v>
      </c>
      <c r="DC28" s="173">
        <v>195626.44727999999</v>
      </c>
      <c r="DD28" s="171">
        <f t="shared" si="50"/>
        <v>195626.44727999999</v>
      </c>
      <c r="DE28" s="173">
        <v>1005.55181</v>
      </c>
      <c r="DF28" s="171">
        <f t="shared" si="51"/>
        <v>1005.55181</v>
      </c>
      <c r="DG28" s="171">
        <f t="shared" si="12"/>
        <v>67419.457709999988</v>
      </c>
      <c r="DH28" s="171">
        <f t="shared" si="13"/>
        <v>-2965.9236000000001</v>
      </c>
      <c r="DI28" s="171">
        <v>1601466.665</v>
      </c>
      <c r="DJ28" s="174">
        <v>1831466.665</v>
      </c>
      <c r="DK28" s="171">
        <f t="shared" si="52"/>
        <v>230000</v>
      </c>
      <c r="DL28" s="170">
        <v>5084991.0582600003</v>
      </c>
      <c r="DM28" s="170">
        <v>0</v>
      </c>
      <c r="DN28" s="170">
        <v>0</v>
      </c>
      <c r="DO28" s="170">
        <v>0</v>
      </c>
      <c r="DP28" s="171">
        <f t="shared" si="53"/>
        <v>5084991.0582600003</v>
      </c>
      <c r="DQ28" s="170">
        <v>4706563.2829</v>
      </c>
      <c r="DR28" s="170">
        <v>0</v>
      </c>
      <c r="DS28" s="170">
        <v>0</v>
      </c>
      <c r="DT28" s="170">
        <v>0</v>
      </c>
      <c r="DU28" s="171">
        <f t="shared" si="54"/>
        <v>4706563.2829</v>
      </c>
      <c r="DV28" s="174">
        <f t="shared" si="14"/>
        <v>5084991.0582600003</v>
      </c>
      <c r="DW28" s="174">
        <f t="shared" si="15"/>
        <v>4706563.2829</v>
      </c>
      <c r="DX28" s="171">
        <f t="shared" si="55"/>
        <v>92.557946100115814</v>
      </c>
      <c r="DY28" s="170">
        <v>2916200</v>
      </c>
      <c r="DZ28" s="171">
        <f t="shared" si="56"/>
        <v>2916200</v>
      </c>
      <c r="EA28" s="317">
        <v>36.5</v>
      </c>
      <c r="EB28" s="171">
        <f t="shared" si="57"/>
        <v>7989589.0410958901</v>
      </c>
      <c r="EC28" s="171">
        <f t="shared" ref="EC28:EC33" si="133">EB28*36.5%</f>
        <v>2916200</v>
      </c>
      <c r="ED28" s="171">
        <f t="shared" si="59"/>
        <v>0</v>
      </c>
      <c r="EE28" s="170">
        <v>2912737.8464000002</v>
      </c>
      <c r="EF28" s="171">
        <f t="shared" si="60"/>
        <v>2912737.8464000002</v>
      </c>
      <c r="EG28" s="171">
        <f t="shared" si="61"/>
        <v>7980103.688767123</v>
      </c>
      <c r="EH28" s="171">
        <f t="shared" ref="EH28:EH33" si="134">EG28*36.5%</f>
        <v>2912737.8463999997</v>
      </c>
      <c r="EI28" s="171">
        <f t="shared" si="63"/>
        <v>0</v>
      </c>
      <c r="EJ28" s="173">
        <v>141947.65371000001</v>
      </c>
      <c r="EK28" s="171">
        <f t="shared" si="64"/>
        <v>141947.65371000001</v>
      </c>
      <c r="EL28" s="171">
        <v>105077</v>
      </c>
      <c r="EM28" s="171">
        <v>106489.19641</v>
      </c>
      <c r="EN28" s="171">
        <f t="shared" si="16"/>
        <v>-35458.457300000009</v>
      </c>
      <c r="EO28" s="171">
        <f t="shared" si="65"/>
        <v>-24.979953083579574</v>
      </c>
      <c r="EV28" s="173">
        <v>305.44905</v>
      </c>
      <c r="EW28" s="171">
        <f t="shared" si="66"/>
        <v>305.44905</v>
      </c>
      <c r="EX28" s="313">
        <v>415</v>
      </c>
      <c r="EY28" s="171">
        <v>415.54349000000002</v>
      </c>
      <c r="EZ28" s="171">
        <f t="shared" si="17"/>
        <v>110.09444000000002</v>
      </c>
      <c r="FA28" s="171">
        <f t="shared" si="67"/>
        <v>36.043471079710343</v>
      </c>
      <c r="FB28" s="173">
        <v>9353.5784199999998</v>
      </c>
      <c r="FC28" s="171">
        <f t="shared" si="68"/>
        <v>9353.5784199999998</v>
      </c>
      <c r="FD28" s="171">
        <v>3047</v>
      </c>
      <c r="FE28" s="171">
        <v>2810.9336400000002</v>
      </c>
      <c r="FF28" s="171">
        <f t="shared" si="69"/>
        <v>-6542.6447799999996</v>
      </c>
      <c r="FG28" s="171">
        <f t="shared" si="70"/>
        <v>-69.948040057165628</v>
      </c>
      <c r="FH28" s="171">
        <v>544066.6985299997</v>
      </c>
      <c r="FI28" s="171">
        <v>173638.22446</v>
      </c>
      <c r="FJ28" s="171">
        <v>398368.84265999962</v>
      </c>
      <c r="FK28" s="171">
        <v>144965.56325000001</v>
      </c>
      <c r="FL28" s="171">
        <f t="shared" si="71"/>
        <v>-145697.85587000009</v>
      </c>
      <c r="FM28" s="171">
        <f t="shared" si="72"/>
        <v>-28672.661209999991</v>
      </c>
      <c r="FN28" s="171">
        <v>27679.00549</v>
      </c>
      <c r="FO28" s="171">
        <v>27679.00549</v>
      </c>
      <c r="FP28" s="171">
        <v>25620.020519999998</v>
      </c>
      <c r="FQ28" s="171">
        <v>25620.020519999998</v>
      </c>
      <c r="FR28" s="171">
        <f t="shared" si="73"/>
        <v>-2058.9849700000013</v>
      </c>
      <c r="FS28" s="171">
        <f t="shared" si="74"/>
        <v>-2058.9849700000013</v>
      </c>
      <c r="FT28" s="171">
        <v>137105.76553</v>
      </c>
      <c r="FU28" s="171">
        <v>137105.76553</v>
      </c>
      <c r="FV28" s="171">
        <v>106828.45645</v>
      </c>
      <c r="FW28" s="171">
        <v>106828.45645</v>
      </c>
      <c r="FX28" s="171">
        <f t="shared" si="75"/>
        <v>-30277.309080000006</v>
      </c>
      <c r="FY28" s="171">
        <f t="shared" si="76"/>
        <v>-30277.309080000006</v>
      </c>
      <c r="FZ28" s="171">
        <v>0</v>
      </c>
      <c r="GA28" s="171">
        <v>0</v>
      </c>
      <c r="GB28" s="171">
        <v>0</v>
      </c>
      <c r="GC28" s="171">
        <v>0</v>
      </c>
      <c r="GD28" s="171">
        <f t="shared" si="77"/>
        <v>0</v>
      </c>
      <c r="GE28" s="171">
        <f t="shared" si="78"/>
        <v>0</v>
      </c>
      <c r="GJ28" s="171">
        <f t="shared" si="79"/>
        <v>0</v>
      </c>
      <c r="GK28" s="171">
        <f t="shared" si="80"/>
        <v>0</v>
      </c>
      <c r="GL28" s="171">
        <v>9522.0192200000001</v>
      </c>
      <c r="GM28" s="171">
        <v>6733.1717600000002</v>
      </c>
      <c r="GN28" s="171">
        <v>10151.141250000001</v>
      </c>
      <c r="GO28" s="171">
        <v>7378.0343700000003</v>
      </c>
      <c r="GP28" s="171">
        <f t="shared" si="81"/>
        <v>629.12203000000045</v>
      </c>
      <c r="GQ28" s="171">
        <f t="shared" si="82"/>
        <v>644.86261000000013</v>
      </c>
      <c r="GV28" s="171">
        <f t="shared" si="83"/>
        <v>0</v>
      </c>
      <c r="GW28" s="171">
        <f t="shared" si="84"/>
        <v>0</v>
      </c>
      <c r="HB28" s="171">
        <f t="shared" si="85"/>
        <v>0</v>
      </c>
      <c r="HC28" s="171">
        <f t="shared" si="86"/>
        <v>0</v>
      </c>
      <c r="HH28" s="171">
        <f t="shared" si="87"/>
        <v>0</v>
      </c>
      <c r="HI28" s="171">
        <f t="shared" si="88"/>
        <v>0</v>
      </c>
      <c r="HN28" s="171">
        <f t="shared" si="89"/>
        <v>0</v>
      </c>
      <c r="HO28" s="171">
        <f t="shared" si="90"/>
        <v>0</v>
      </c>
      <c r="HP28" s="171">
        <v>8962.1984699999994</v>
      </c>
      <c r="HQ28" s="171">
        <v>713.36568999999997</v>
      </c>
      <c r="HR28" s="171">
        <v>9099.3425000000007</v>
      </c>
      <c r="HS28" s="171">
        <v>3163.6329599999999</v>
      </c>
      <c r="HT28" s="171">
        <f t="shared" si="91"/>
        <v>137.14403000000129</v>
      </c>
      <c r="HU28" s="171">
        <f t="shared" si="92"/>
        <v>2450.2672699999998</v>
      </c>
      <c r="HV28" s="171">
        <v>331251.96726</v>
      </c>
      <c r="HW28" s="171">
        <v>0</v>
      </c>
      <c r="HX28" s="171">
        <v>233786.62195999999</v>
      </c>
      <c r="HY28" s="171">
        <v>0</v>
      </c>
      <c r="HZ28" s="171">
        <f t="shared" si="93"/>
        <v>-97465.345300000015</v>
      </c>
      <c r="IA28" s="171">
        <f t="shared" si="94"/>
        <v>0</v>
      </c>
      <c r="IB28" s="171">
        <v>128.00890999999999</v>
      </c>
      <c r="IC28" s="171">
        <v>3.0089100000000002</v>
      </c>
      <c r="ID28" s="171">
        <v>133.9786</v>
      </c>
      <c r="IE28" s="171">
        <v>23.494890000000002</v>
      </c>
      <c r="IF28" s="171">
        <f t="shared" si="95"/>
        <v>5.9696900000000142</v>
      </c>
      <c r="IG28" s="171">
        <f t="shared" si="96"/>
        <v>20.485980000000001</v>
      </c>
      <c r="IH28" s="171">
        <v>0</v>
      </c>
      <c r="II28" s="171">
        <v>0</v>
      </c>
      <c r="IJ28" s="171">
        <v>9023.6056000000008</v>
      </c>
      <c r="IK28" s="171">
        <v>0</v>
      </c>
      <c r="IL28" s="171">
        <f t="shared" si="97"/>
        <v>9023.6056000000008</v>
      </c>
      <c r="IM28" s="171">
        <f t="shared" si="98"/>
        <v>0</v>
      </c>
      <c r="IN28" s="171">
        <v>888.20766000000003</v>
      </c>
      <c r="IO28" s="171">
        <v>888.20766000000003</v>
      </c>
      <c r="IP28" s="171">
        <v>160.12569999999999</v>
      </c>
      <c r="IQ28" s="171">
        <v>122.5</v>
      </c>
      <c r="IR28" s="171">
        <f t="shared" si="99"/>
        <v>-728.08195999999998</v>
      </c>
      <c r="IS28" s="171">
        <f t="shared" si="100"/>
        <v>-765.70766000000003</v>
      </c>
      <c r="IT28" s="171">
        <v>177032.60821999999</v>
      </c>
      <c r="IU28" s="171">
        <v>0</v>
      </c>
      <c r="IV28" s="171">
        <v>107880.32961999999</v>
      </c>
      <c r="IW28" s="171">
        <v>0</v>
      </c>
      <c r="IX28" s="171">
        <f t="shared" si="101"/>
        <v>-69152.278600000005</v>
      </c>
      <c r="IY28" s="171">
        <f t="shared" si="102"/>
        <v>0</v>
      </c>
      <c r="JB28" s="171">
        <f t="shared" si="103"/>
        <v>0</v>
      </c>
      <c r="JE28" s="171">
        <f t="shared" si="104"/>
        <v>0</v>
      </c>
      <c r="JF28" s="171">
        <v>0</v>
      </c>
      <c r="JG28" s="171">
        <v>0</v>
      </c>
      <c r="JH28" s="171">
        <f t="shared" si="105"/>
        <v>0</v>
      </c>
      <c r="JI28" s="171">
        <v>0</v>
      </c>
      <c r="JJ28" s="171">
        <v>0</v>
      </c>
      <c r="JK28" s="171">
        <f t="shared" si="106"/>
        <v>0</v>
      </c>
      <c r="JL28" s="171">
        <v>0</v>
      </c>
      <c r="JM28" s="171">
        <v>0</v>
      </c>
      <c r="JN28" s="171">
        <f t="shared" si="107"/>
        <v>0</v>
      </c>
      <c r="JO28" s="171">
        <v>0</v>
      </c>
      <c r="JP28" s="171">
        <v>0</v>
      </c>
      <c r="JQ28" s="171">
        <f t="shared" si="108"/>
        <v>0</v>
      </c>
      <c r="JR28" s="171">
        <v>0</v>
      </c>
      <c r="JS28" s="171">
        <v>0</v>
      </c>
      <c r="JT28" s="171">
        <f t="shared" si="109"/>
        <v>0</v>
      </c>
      <c r="JU28" s="171">
        <v>0</v>
      </c>
      <c r="JV28" s="171">
        <v>0</v>
      </c>
      <c r="JW28" s="171">
        <f t="shared" si="110"/>
        <v>0</v>
      </c>
      <c r="JX28" s="171">
        <v>0</v>
      </c>
      <c r="JY28" s="171">
        <v>0</v>
      </c>
      <c r="JZ28" s="171">
        <f t="shared" si="111"/>
        <v>0</v>
      </c>
      <c r="KA28" s="171">
        <v>173006.09427</v>
      </c>
      <c r="KC28" s="171">
        <v>81164.710690000007</v>
      </c>
      <c r="KE28" s="171">
        <f t="shared" si="112"/>
        <v>-91841.383579999994</v>
      </c>
      <c r="KF28" s="171">
        <f t="shared" si="113"/>
        <v>0</v>
      </c>
    </row>
    <row r="29" spans="1:293" s="171" customFormat="1" x14ac:dyDescent="0.25">
      <c r="A29" s="169" t="s">
        <v>173</v>
      </c>
      <c r="B29" s="170">
        <v>2282027.5</v>
      </c>
      <c r="C29" s="170">
        <v>0</v>
      </c>
      <c r="D29" s="170">
        <v>0</v>
      </c>
      <c r="E29" s="170">
        <v>0</v>
      </c>
      <c r="F29" s="171">
        <f t="shared" si="19"/>
        <v>2282027.5</v>
      </c>
      <c r="G29" s="170">
        <v>3284419.5467599998</v>
      </c>
      <c r="H29" s="170">
        <v>0</v>
      </c>
      <c r="I29" s="170">
        <v>0</v>
      </c>
      <c r="J29" s="170">
        <v>0</v>
      </c>
      <c r="K29" s="171">
        <f t="shared" si="20"/>
        <v>3284419.5467599998</v>
      </c>
      <c r="L29" s="170">
        <v>0</v>
      </c>
      <c r="M29" s="170">
        <v>0</v>
      </c>
      <c r="N29" s="170">
        <v>0</v>
      </c>
      <c r="O29" s="171">
        <f t="shared" si="21"/>
        <v>0</v>
      </c>
      <c r="P29" s="170">
        <v>0</v>
      </c>
      <c r="Q29" s="170">
        <v>0</v>
      </c>
      <c r="R29" s="170">
        <v>0</v>
      </c>
      <c r="S29" s="171">
        <f t="shared" si="22"/>
        <v>0</v>
      </c>
      <c r="T29" s="170">
        <v>3391340.9450900001</v>
      </c>
      <c r="U29" s="170">
        <v>0</v>
      </c>
      <c r="V29" s="170">
        <v>0</v>
      </c>
      <c r="W29" s="170">
        <v>0</v>
      </c>
      <c r="X29" s="171">
        <f t="shared" si="23"/>
        <v>3391340.9450900001</v>
      </c>
      <c r="Y29" s="170">
        <v>3292881.9249499999</v>
      </c>
      <c r="Z29" s="170">
        <v>0</v>
      </c>
      <c r="AA29" s="170">
        <v>0</v>
      </c>
      <c r="AB29" s="170">
        <v>0</v>
      </c>
      <c r="AC29" s="171">
        <f t="shared" si="24"/>
        <v>3292881.9249499999</v>
      </c>
      <c r="AD29" s="171">
        <f t="shared" si="25"/>
        <v>2282027.5</v>
      </c>
      <c r="AE29" s="171">
        <f t="shared" si="0"/>
        <v>3284419.5467599998</v>
      </c>
      <c r="AF29" s="171">
        <f t="shared" si="26"/>
        <v>143.92550250862445</v>
      </c>
      <c r="AG29" s="172">
        <v>2282028</v>
      </c>
      <c r="AH29" s="172">
        <f t="shared" si="27"/>
        <v>0.5</v>
      </c>
      <c r="AI29" s="172">
        <v>3284420</v>
      </c>
      <c r="AJ29" s="172">
        <f t="shared" si="28"/>
        <v>0.45324000017717481</v>
      </c>
      <c r="AK29" s="171">
        <f t="shared" si="1"/>
        <v>3391340.9450900001</v>
      </c>
      <c r="AL29" s="171">
        <f t="shared" si="2"/>
        <v>3292881.9249499999</v>
      </c>
      <c r="AM29" s="171">
        <f t="shared" si="29"/>
        <v>97.096752531397669</v>
      </c>
      <c r="AN29" s="173">
        <v>-129898.1</v>
      </c>
      <c r="AO29" s="173">
        <v>0</v>
      </c>
      <c r="AP29" s="173">
        <v>0</v>
      </c>
      <c r="AQ29" s="173">
        <v>0</v>
      </c>
      <c r="AR29" s="171">
        <f t="shared" si="30"/>
        <v>-129898.1</v>
      </c>
      <c r="AS29" s="173">
        <v>-8462.3781899999994</v>
      </c>
      <c r="AT29" s="173">
        <v>0</v>
      </c>
      <c r="AU29" s="173">
        <v>0</v>
      </c>
      <c r="AV29" s="173">
        <v>0</v>
      </c>
      <c r="AW29" s="171">
        <f t="shared" si="31"/>
        <v>-8462.3781899999994</v>
      </c>
      <c r="AX29" s="170">
        <v>1508085.4</v>
      </c>
      <c r="AY29" s="170">
        <v>0</v>
      </c>
      <c r="AZ29" s="170">
        <v>0</v>
      </c>
      <c r="BA29" s="170">
        <v>0</v>
      </c>
      <c r="BB29" s="312">
        <f t="shared" si="32"/>
        <v>0</v>
      </c>
      <c r="BC29" s="171">
        <f t="shared" si="33"/>
        <v>1508085.4</v>
      </c>
      <c r="BD29" s="170">
        <v>2454079.9701899998</v>
      </c>
      <c r="BE29" s="170">
        <v>0</v>
      </c>
      <c r="BF29" s="170">
        <v>0</v>
      </c>
      <c r="BG29" s="170">
        <v>0</v>
      </c>
      <c r="BH29" s="312">
        <f t="shared" si="3"/>
        <v>0</v>
      </c>
      <c r="BI29" s="171">
        <f t="shared" si="34"/>
        <v>2454079.9701899998</v>
      </c>
      <c r="BJ29" s="171">
        <f t="shared" si="4"/>
        <v>1508085.4</v>
      </c>
      <c r="BK29" s="171">
        <f t="shared" si="5"/>
        <v>2454079.9701899998</v>
      </c>
      <c r="BL29" s="171">
        <f t="shared" si="35"/>
        <v>162.72818304520419</v>
      </c>
      <c r="BM29" s="170">
        <v>773613.3</v>
      </c>
      <c r="BN29" s="170">
        <v>0</v>
      </c>
      <c r="BO29" s="170">
        <v>0</v>
      </c>
      <c r="BP29" s="170">
        <v>0</v>
      </c>
      <c r="BQ29" s="171">
        <f t="shared" si="36"/>
        <v>773613.3</v>
      </c>
      <c r="BR29" s="171">
        <f t="shared" si="6"/>
        <v>773613.3</v>
      </c>
      <c r="BS29" s="170">
        <v>830082.83700000006</v>
      </c>
      <c r="BT29" s="170">
        <v>0</v>
      </c>
      <c r="BU29" s="170">
        <v>0</v>
      </c>
      <c r="BV29" s="170">
        <v>0</v>
      </c>
      <c r="BW29" s="171">
        <f t="shared" si="37"/>
        <v>830082.83700000006</v>
      </c>
      <c r="BX29" s="171">
        <f t="shared" si="7"/>
        <v>830082.83700000006</v>
      </c>
      <c r="BY29" s="171">
        <v>84126.892500000002</v>
      </c>
      <c r="BZ29" s="173">
        <v>86300</v>
      </c>
      <c r="CA29" s="171">
        <f t="shared" si="38"/>
        <v>86300</v>
      </c>
      <c r="CB29" s="173">
        <v>67146.68144</v>
      </c>
      <c r="CC29" s="171">
        <f t="shared" si="38"/>
        <v>67146.68144</v>
      </c>
      <c r="CD29" s="171">
        <f t="shared" si="8"/>
        <v>77.806119860950176</v>
      </c>
      <c r="CE29" s="171">
        <f t="shared" si="39"/>
        <v>-20.184046451020393</v>
      </c>
      <c r="CF29" s="173">
        <v>8728.2000000000007</v>
      </c>
      <c r="CG29" s="171">
        <f t="shared" si="40"/>
        <v>8728.2000000000007</v>
      </c>
      <c r="CH29" s="269">
        <v>14569.70658</v>
      </c>
      <c r="CI29" s="171">
        <f t="shared" si="41"/>
        <v>14569.70658</v>
      </c>
      <c r="CJ29" s="171">
        <f t="shared" si="9"/>
        <v>166.92681858802501</v>
      </c>
      <c r="CK29" s="173">
        <v>70588.600000000006</v>
      </c>
      <c r="CL29" s="171">
        <f t="shared" si="42"/>
        <v>70588.600000000006</v>
      </c>
      <c r="CM29" s="173">
        <v>112836.24288999999</v>
      </c>
      <c r="CN29" s="171">
        <f t="shared" si="43"/>
        <v>112836.24288999999</v>
      </c>
      <c r="CO29" s="173">
        <v>75182.915859999994</v>
      </c>
      <c r="CP29" s="171">
        <f t="shared" si="44"/>
        <v>75182.915859999994</v>
      </c>
      <c r="CQ29" s="171">
        <f t="shared" si="10"/>
        <v>106.50858050733403</v>
      </c>
      <c r="CR29" s="171">
        <f t="shared" si="45"/>
        <v>-37653.32703</v>
      </c>
      <c r="CS29" s="171">
        <f t="shared" si="46"/>
        <v>-33.369887250417293</v>
      </c>
      <c r="CT29" s="171">
        <v>74396.945500000002</v>
      </c>
      <c r="CU29" s="173">
        <v>52141.3</v>
      </c>
      <c r="CV29" s="171">
        <f t="shared" si="47"/>
        <v>52141.3</v>
      </c>
      <c r="CW29" s="173">
        <v>85607.502529999998</v>
      </c>
      <c r="CX29" s="171">
        <f t="shared" ref="CX29" si="135">(CW29)</f>
        <v>85607.502529999998</v>
      </c>
      <c r="CY29" s="171">
        <f t="shared" si="11"/>
        <v>164.18367499467792</v>
      </c>
      <c r="CZ29" s="171">
        <f t="shared" si="49"/>
        <v>15.068571639140742</v>
      </c>
      <c r="DA29" s="171">
        <v>50235.428789999998</v>
      </c>
      <c r="DB29" s="171">
        <v>1214.5958800000001</v>
      </c>
      <c r="DC29" s="173">
        <v>49684.750599999999</v>
      </c>
      <c r="DD29" s="171">
        <f t="shared" si="50"/>
        <v>49684.750599999999</v>
      </c>
      <c r="DE29" s="173">
        <v>583.46277999999995</v>
      </c>
      <c r="DF29" s="171">
        <f t="shared" si="51"/>
        <v>583.46277999999995</v>
      </c>
      <c r="DG29" s="171">
        <f t="shared" si="12"/>
        <v>-550.67818999999872</v>
      </c>
      <c r="DH29" s="171">
        <f t="shared" si="13"/>
        <v>-631.13310000000013</v>
      </c>
      <c r="DI29" s="171">
        <v>180000</v>
      </c>
      <c r="DJ29" s="174">
        <v>180000</v>
      </c>
      <c r="DK29" s="171">
        <f t="shared" si="52"/>
        <v>0</v>
      </c>
      <c r="DL29" s="170">
        <v>1508414.2</v>
      </c>
      <c r="DM29" s="170">
        <v>0</v>
      </c>
      <c r="DN29" s="170">
        <v>0</v>
      </c>
      <c r="DO29" s="170">
        <v>0</v>
      </c>
      <c r="DP29" s="171">
        <f t="shared" si="53"/>
        <v>1508414.2</v>
      </c>
      <c r="DQ29" s="170">
        <v>2454336.70976</v>
      </c>
      <c r="DR29" s="170">
        <v>0</v>
      </c>
      <c r="DS29" s="170">
        <v>0</v>
      </c>
      <c r="DT29" s="170">
        <v>0</v>
      </c>
      <c r="DU29" s="171">
        <f t="shared" si="54"/>
        <v>2454336.70976</v>
      </c>
      <c r="DV29" s="174">
        <f t="shared" si="14"/>
        <v>1508414.2</v>
      </c>
      <c r="DW29" s="174">
        <f t="shared" si="15"/>
        <v>2454336.70976</v>
      </c>
      <c r="DX29" s="171">
        <f t="shared" si="55"/>
        <v>162.70973249655168</v>
      </c>
      <c r="DY29" s="170">
        <v>521220</v>
      </c>
      <c r="DZ29" s="171">
        <f t="shared" si="56"/>
        <v>521220</v>
      </c>
      <c r="EA29" s="317">
        <v>36.5</v>
      </c>
      <c r="EB29" s="171">
        <f t="shared" si="57"/>
        <v>1428000</v>
      </c>
      <c r="EC29" s="171">
        <f t="shared" si="133"/>
        <v>521220</v>
      </c>
      <c r="ED29" s="171">
        <f t="shared" si="59"/>
        <v>0</v>
      </c>
      <c r="EE29" s="170">
        <v>545416.57374999998</v>
      </c>
      <c r="EF29" s="171">
        <f t="shared" si="60"/>
        <v>545416.57374999998</v>
      </c>
      <c r="EG29" s="171">
        <f t="shared" si="61"/>
        <v>1494291.9828767122</v>
      </c>
      <c r="EH29" s="171">
        <f t="shared" si="134"/>
        <v>545416.57374999998</v>
      </c>
      <c r="EI29" s="171">
        <f t="shared" si="63"/>
        <v>0</v>
      </c>
      <c r="EJ29" s="173">
        <v>82456.021710000001</v>
      </c>
      <c r="EK29" s="171">
        <f t="shared" si="64"/>
        <v>82456.021710000001</v>
      </c>
      <c r="EL29" s="171">
        <v>84500</v>
      </c>
      <c r="EM29" s="171">
        <v>66009.179610000007</v>
      </c>
      <c r="EN29" s="171">
        <f t="shared" si="16"/>
        <v>-16446.842099999994</v>
      </c>
      <c r="EO29" s="171">
        <f t="shared" si="65"/>
        <v>-19.946198905695425</v>
      </c>
      <c r="EV29" s="173">
        <v>0.77573000000000003</v>
      </c>
      <c r="EW29" s="171">
        <f t="shared" si="66"/>
        <v>0.77573000000000003</v>
      </c>
      <c r="EX29" s="313">
        <v>0</v>
      </c>
      <c r="EY29" s="171">
        <v>0.52758000000000005</v>
      </c>
      <c r="EZ29" s="171">
        <f t="shared" si="17"/>
        <v>-0.24814999999999998</v>
      </c>
      <c r="FA29" s="171">
        <f t="shared" si="67"/>
        <v>-31.989223054413259</v>
      </c>
      <c r="FB29" s="173">
        <v>1670.0950600000001</v>
      </c>
      <c r="FC29" s="171">
        <f t="shared" si="68"/>
        <v>1670.0950600000001</v>
      </c>
      <c r="FD29" s="171">
        <v>1800</v>
      </c>
      <c r="FE29" s="171">
        <v>1136.97425</v>
      </c>
      <c r="FF29" s="171">
        <f t="shared" si="69"/>
        <v>-533.12081000000012</v>
      </c>
      <c r="FG29" s="171">
        <f t="shared" si="70"/>
        <v>-31.921584750990178</v>
      </c>
      <c r="FH29" s="171">
        <v>341622.83438999951</v>
      </c>
      <c r="FI29" s="171">
        <v>75123.3217</v>
      </c>
      <c r="FJ29" s="171">
        <v>662541.36447000015</v>
      </c>
      <c r="FK29" s="171">
        <v>90342.513319999998</v>
      </c>
      <c r="FL29" s="171">
        <f t="shared" si="71"/>
        <v>320918.53008000064</v>
      </c>
      <c r="FM29" s="171">
        <f t="shared" si="72"/>
        <v>15219.191619999998</v>
      </c>
      <c r="FN29" s="171">
        <v>28221.772400000002</v>
      </c>
      <c r="FO29" s="171">
        <v>28221.772400000002</v>
      </c>
      <c r="FP29" s="171">
        <v>31246.441510000001</v>
      </c>
      <c r="FQ29" s="171">
        <v>31235.735509999999</v>
      </c>
      <c r="FR29" s="171">
        <f t="shared" si="73"/>
        <v>3024.6691099999989</v>
      </c>
      <c r="FS29" s="171">
        <f t="shared" si="74"/>
        <v>3013.963109999997</v>
      </c>
      <c r="FT29" s="171">
        <v>65608.331080000004</v>
      </c>
      <c r="FU29" s="171">
        <v>5136.7586300000003</v>
      </c>
      <c r="FV29" s="171">
        <v>54595.005810000002</v>
      </c>
      <c r="FW29" s="171">
        <v>5917.2818100000004</v>
      </c>
      <c r="FX29" s="171">
        <f t="shared" si="75"/>
        <v>-11013.325270000001</v>
      </c>
      <c r="FY29" s="171">
        <f t="shared" si="76"/>
        <v>780.52318000000014</v>
      </c>
      <c r="FZ29" s="171">
        <v>218112.30785000001</v>
      </c>
      <c r="GA29" s="171">
        <v>33777.390090000001</v>
      </c>
      <c r="GB29" s="171">
        <v>547679.12771000003</v>
      </c>
      <c r="GC29" s="171">
        <v>37789.254979999998</v>
      </c>
      <c r="GD29" s="171">
        <f t="shared" si="77"/>
        <v>329566.81986000005</v>
      </c>
      <c r="GE29" s="171">
        <f t="shared" si="78"/>
        <v>4011.8648899999971</v>
      </c>
      <c r="GJ29" s="171">
        <f t="shared" si="79"/>
        <v>0</v>
      </c>
      <c r="GK29" s="171">
        <f t="shared" si="80"/>
        <v>0</v>
      </c>
      <c r="GL29" s="171">
        <v>11701.441070000001</v>
      </c>
      <c r="GM29" s="171">
        <v>5948.0379999999996</v>
      </c>
      <c r="GN29" s="171">
        <v>11635.360650000001</v>
      </c>
      <c r="GO29" s="171">
        <v>7079.7701800000004</v>
      </c>
      <c r="GP29" s="171">
        <f t="shared" si="81"/>
        <v>-66.080420000000231</v>
      </c>
      <c r="GQ29" s="171">
        <f t="shared" si="82"/>
        <v>1131.7321800000009</v>
      </c>
      <c r="GV29" s="171">
        <f t="shared" si="83"/>
        <v>0</v>
      </c>
      <c r="GW29" s="171">
        <f t="shared" si="84"/>
        <v>0</v>
      </c>
      <c r="HB29" s="171">
        <f t="shared" si="85"/>
        <v>0</v>
      </c>
      <c r="HC29" s="171">
        <f t="shared" si="86"/>
        <v>0</v>
      </c>
      <c r="HH29" s="171">
        <f t="shared" si="87"/>
        <v>0</v>
      </c>
      <c r="HI29" s="171">
        <f t="shared" si="88"/>
        <v>0</v>
      </c>
      <c r="HN29" s="171">
        <f t="shared" si="89"/>
        <v>0</v>
      </c>
      <c r="HO29" s="171">
        <f t="shared" si="90"/>
        <v>0</v>
      </c>
      <c r="HP29" s="171">
        <v>5477.8034699999998</v>
      </c>
      <c r="HQ29" s="171">
        <v>46.63561</v>
      </c>
      <c r="HR29" s="171">
        <v>5289.1168200000002</v>
      </c>
      <c r="HS29" s="171">
        <v>372.65282999999999</v>
      </c>
      <c r="HT29" s="171">
        <f t="shared" si="91"/>
        <v>-188.68664999999964</v>
      </c>
      <c r="HU29" s="171">
        <f t="shared" si="92"/>
        <v>326.01722000000001</v>
      </c>
      <c r="HV29" s="171">
        <v>5134.36085</v>
      </c>
      <c r="HW29" s="171">
        <v>906.32501000000002</v>
      </c>
      <c r="HX29" s="171">
        <v>3692.4466299999999</v>
      </c>
      <c r="HY29" s="171">
        <v>1356.87411</v>
      </c>
      <c r="HZ29" s="171">
        <f t="shared" si="93"/>
        <v>-1441.9142200000001</v>
      </c>
      <c r="IA29" s="171">
        <f t="shared" si="94"/>
        <v>450.54909999999995</v>
      </c>
      <c r="IB29" s="171">
        <v>0</v>
      </c>
      <c r="IC29" s="171">
        <v>0</v>
      </c>
      <c r="ID29" s="171">
        <v>22.740780000000001</v>
      </c>
      <c r="IE29" s="171">
        <v>22.740780000000001</v>
      </c>
      <c r="IF29" s="171">
        <f t="shared" si="95"/>
        <v>22.740780000000001</v>
      </c>
      <c r="IG29" s="171">
        <f t="shared" si="96"/>
        <v>22.740780000000001</v>
      </c>
      <c r="IH29" s="171">
        <v>0</v>
      </c>
      <c r="II29" s="171">
        <v>0</v>
      </c>
      <c r="IJ29" s="171">
        <v>0</v>
      </c>
      <c r="IK29" s="171">
        <v>0</v>
      </c>
      <c r="IL29" s="171">
        <f t="shared" si="97"/>
        <v>0</v>
      </c>
      <c r="IM29" s="171">
        <f t="shared" si="98"/>
        <v>0</v>
      </c>
      <c r="IN29" s="171">
        <v>1402.37779</v>
      </c>
      <c r="IO29" s="171">
        <v>0</v>
      </c>
      <c r="IP29" s="171">
        <v>1411.7923800000001</v>
      </c>
      <c r="IQ29" s="171">
        <v>1411.75046</v>
      </c>
      <c r="IR29" s="171">
        <f t="shared" si="99"/>
        <v>9.4145900000000893</v>
      </c>
      <c r="IS29" s="171">
        <f t="shared" si="100"/>
        <v>1411.75046</v>
      </c>
      <c r="IT29" s="171">
        <v>52234.457519999996</v>
      </c>
      <c r="IU29" s="171">
        <v>0</v>
      </c>
      <c r="IV29" s="171">
        <v>43964.2215</v>
      </c>
      <c r="IW29" s="171">
        <v>2.1700000000000001E-3</v>
      </c>
      <c r="IX29" s="171">
        <f t="shared" si="101"/>
        <v>-8270.2360199999966</v>
      </c>
      <c r="IY29" s="171">
        <f t="shared" si="102"/>
        <v>2.1700000000000001E-3</v>
      </c>
      <c r="JB29" s="171">
        <f t="shared" si="103"/>
        <v>0</v>
      </c>
      <c r="JE29" s="171">
        <f t="shared" si="104"/>
        <v>0</v>
      </c>
      <c r="JF29" s="171">
        <v>0</v>
      </c>
      <c r="JG29" s="171">
        <v>0</v>
      </c>
      <c r="JH29" s="171">
        <f t="shared" si="105"/>
        <v>0</v>
      </c>
      <c r="JI29" s="171">
        <v>0</v>
      </c>
      <c r="JJ29" s="171">
        <v>0</v>
      </c>
      <c r="JK29" s="171">
        <f t="shared" si="106"/>
        <v>0</v>
      </c>
      <c r="JL29" s="171">
        <v>0</v>
      </c>
      <c r="JM29" s="171">
        <v>0</v>
      </c>
      <c r="JN29" s="171">
        <f t="shared" si="107"/>
        <v>0</v>
      </c>
      <c r="JO29" s="171">
        <v>0</v>
      </c>
      <c r="JP29" s="171">
        <v>0</v>
      </c>
      <c r="JQ29" s="171">
        <f t="shared" si="108"/>
        <v>0</v>
      </c>
      <c r="JR29" s="171">
        <v>0</v>
      </c>
      <c r="JS29" s="171">
        <v>0</v>
      </c>
      <c r="JT29" s="171">
        <f t="shared" si="109"/>
        <v>0</v>
      </c>
      <c r="JU29" s="171">
        <v>0</v>
      </c>
      <c r="JV29" s="171">
        <v>0</v>
      </c>
      <c r="JW29" s="171">
        <f t="shared" si="110"/>
        <v>0</v>
      </c>
      <c r="JX29" s="171">
        <v>0</v>
      </c>
      <c r="JY29" s="171">
        <v>0</v>
      </c>
      <c r="JZ29" s="171">
        <f t="shared" si="111"/>
        <v>0</v>
      </c>
      <c r="KA29" s="171">
        <v>42883.07746</v>
      </c>
      <c r="KC29" s="171">
        <v>23345.420630000001</v>
      </c>
      <c r="KE29" s="171">
        <f t="shared" si="112"/>
        <v>-19537.65683</v>
      </c>
      <c r="KF29" s="171">
        <f t="shared" si="113"/>
        <v>0</v>
      </c>
    </row>
    <row r="30" spans="1:293" s="171" customFormat="1" x14ac:dyDescent="0.25">
      <c r="A30" s="169" t="s">
        <v>174</v>
      </c>
      <c r="B30" s="170">
        <v>1616521.64069</v>
      </c>
      <c r="C30" s="170">
        <v>0</v>
      </c>
      <c r="D30" s="170">
        <v>0</v>
      </c>
      <c r="E30" s="170">
        <v>0</v>
      </c>
      <c r="F30" s="171">
        <f t="shared" si="19"/>
        <v>1616521.64069</v>
      </c>
      <c r="G30" s="170">
        <v>1401806.3809499999</v>
      </c>
      <c r="H30" s="170">
        <v>0</v>
      </c>
      <c r="I30" s="170">
        <v>0</v>
      </c>
      <c r="J30" s="170">
        <v>0</v>
      </c>
      <c r="K30" s="171">
        <f t="shared" si="20"/>
        <v>1401806.3809499999</v>
      </c>
      <c r="L30" s="170">
        <v>0</v>
      </c>
      <c r="M30" s="170">
        <v>0</v>
      </c>
      <c r="N30" s="170">
        <v>0</v>
      </c>
      <c r="O30" s="171">
        <f t="shared" si="21"/>
        <v>0</v>
      </c>
      <c r="P30" s="170">
        <v>0</v>
      </c>
      <c r="Q30" s="170">
        <v>0</v>
      </c>
      <c r="R30" s="170">
        <v>0</v>
      </c>
      <c r="S30" s="171">
        <f t="shared" si="22"/>
        <v>0</v>
      </c>
      <c r="T30" s="170">
        <v>1669928.8054299999</v>
      </c>
      <c r="U30" s="170">
        <v>0</v>
      </c>
      <c r="V30" s="170">
        <v>0</v>
      </c>
      <c r="W30" s="170">
        <v>0</v>
      </c>
      <c r="X30" s="171">
        <f t="shared" si="23"/>
        <v>1669928.8054299999</v>
      </c>
      <c r="Y30" s="170">
        <v>1372299.4593499999</v>
      </c>
      <c r="Z30" s="170">
        <v>0</v>
      </c>
      <c r="AA30" s="170">
        <v>0</v>
      </c>
      <c r="AB30" s="170">
        <v>0</v>
      </c>
      <c r="AC30" s="171">
        <f t="shared" si="24"/>
        <v>1372299.4593499999</v>
      </c>
      <c r="AD30" s="171">
        <f t="shared" si="25"/>
        <v>1616521.64069</v>
      </c>
      <c r="AE30" s="171">
        <f t="shared" si="0"/>
        <v>1401806.3809499999</v>
      </c>
      <c r="AF30" s="171">
        <f t="shared" si="26"/>
        <v>86.717452192699966</v>
      </c>
      <c r="AG30" s="172">
        <v>1616522</v>
      </c>
      <c r="AH30" s="172">
        <f t="shared" si="27"/>
        <v>0.35930999997071922</v>
      </c>
      <c r="AI30" s="172">
        <v>1401806</v>
      </c>
      <c r="AJ30" s="172">
        <f t="shared" si="28"/>
        <v>-0.38094999990426004</v>
      </c>
      <c r="AK30" s="171">
        <f t="shared" si="1"/>
        <v>1669928.8054299999</v>
      </c>
      <c r="AL30" s="171">
        <f t="shared" si="2"/>
        <v>1372299.4593499999</v>
      </c>
      <c r="AM30" s="171">
        <f t="shared" si="29"/>
        <v>82.177123652684003</v>
      </c>
      <c r="AN30" s="173">
        <v>-62599.724240000003</v>
      </c>
      <c r="AO30" s="173">
        <v>0</v>
      </c>
      <c r="AP30" s="173">
        <v>0</v>
      </c>
      <c r="AQ30" s="173">
        <v>0</v>
      </c>
      <c r="AR30" s="171">
        <f t="shared" si="30"/>
        <v>-62599.724240000003</v>
      </c>
      <c r="AS30" s="173">
        <v>29506.921600000001</v>
      </c>
      <c r="AT30" s="173">
        <v>0</v>
      </c>
      <c r="AU30" s="173">
        <v>0</v>
      </c>
      <c r="AV30" s="173">
        <v>0</v>
      </c>
      <c r="AW30" s="171">
        <f t="shared" si="31"/>
        <v>29506.921600000001</v>
      </c>
      <c r="AX30" s="170">
        <v>1209077.23297</v>
      </c>
      <c r="AY30" s="170">
        <v>0</v>
      </c>
      <c r="AZ30" s="170">
        <v>0</v>
      </c>
      <c r="BA30" s="170">
        <v>0</v>
      </c>
      <c r="BB30" s="312">
        <f t="shared" si="32"/>
        <v>0</v>
      </c>
      <c r="BC30" s="171">
        <f t="shared" si="33"/>
        <v>1209077.23297</v>
      </c>
      <c r="BD30" s="170">
        <v>1016079.75294</v>
      </c>
      <c r="BE30" s="170">
        <v>0</v>
      </c>
      <c r="BF30" s="170">
        <v>0</v>
      </c>
      <c r="BG30" s="170">
        <v>0</v>
      </c>
      <c r="BH30" s="312">
        <f t="shared" si="3"/>
        <v>0</v>
      </c>
      <c r="BI30" s="171">
        <f t="shared" si="34"/>
        <v>1016079.75294</v>
      </c>
      <c r="BJ30" s="171">
        <f t="shared" si="4"/>
        <v>1209077.23297</v>
      </c>
      <c r="BK30" s="171">
        <f t="shared" si="5"/>
        <v>1016079.75294</v>
      </c>
      <c r="BL30" s="171">
        <f t="shared" si="35"/>
        <v>84.037621851838423</v>
      </c>
      <c r="BM30" s="170">
        <v>405499.9</v>
      </c>
      <c r="BN30" s="170">
        <v>0</v>
      </c>
      <c r="BO30" s="170">
        <v>0</v>
      </c>
      <c r="BP30" s="170">
        <v>0</v>
      </c>
      <c r="BQ30" s="171">
        <f t="shared" si="36"/>
        <v>405499.9</v>
      </c>
      <c r="BR30" s="171">
        <f t="shared" si="6"/>
        <v>405499.9</v>
      </c>
      <c r="BS30" s="170">
        <v>383877.02227999998</v>
      </c>
      <c r="BT30" s="170">
        <v>0</v>
      </c>
      <c r="BU30" s="170">
        <v>0</v>
      </c>
      <c r="BV30" s="170">
        <v>0</v>
      </c>
      <c r="BW30" s="171">
        <f t="shared" si="37"/>
        <v>383877.02227999998</v>
      </c>
      <c r="BX30" s="171">
        <f t="shared" si="7"/>
        <v>383877.02227999998</v>
      </c>
      <c r="BY30" s="171">
        <v>19369.521980000001</v>
      </c>
      <c r="BZ30" s="173">
        <v>19824</v>
      </c>
      <c r="CA30" s="171">
        <f t="shared" si="38"/>
        <v>19824</v>
      </c>
      <c r="CB30" s="173">
        <v>13847.3907</v>
      </c>
      <c r="CC30" s="171">
        <f t="shared" si="38"/>
        <v>13847.3907</v>
      </c>
      <c r="CD30" s="171">
        <f t="shared" si="8"/>
        <v>69.8516480024213</v>
      </c>
      <c r="CE30" s="171">
        <f t="shared" si="39"/>
        <v>-28.50938337921751</v>
      </c>
      <c r="CF30" s="173">
        <v>600</v>
      </c>
      <c r="CG30" s="171">
        <f t="shared" si="40"/>
        <v>600</v>
      </c>
      <c r="CH30" s="269">
        <v>1109.5462399999999</v>
      </c>
      <c r="CI30" s="171">
        <f t="shared" si="41"/>
        <v>1109.5462399999999</v>
      </c>
      <c r="CJ30" s="171">
        <f t="shared" si="9"/>
        <v>184.92437333333331</v>
      </c>
      <c r="CK30" s="173">
        <v>51576</v>
      </c>
      <c r="CL30" s="171">
        <f t="shared" si="42"/>
        <v>51576</v>
      </c>
      <c r="CM30" s="173">
        <v>64535.72827</v>
      </c>
      <c r="CN30" s="171">
        <f t="shared" si="43"/>
        <v>64535.72827</v>
      </c>
      <c r="CO30" s="173">
        <v>31846.393309999999</v>
      </c>
      <c r="CP30" s="171">
        <f t="shared" si="44"/>
        <v>31846.393309999999</v>
      </c>
      <c r="CQ30" s="171">
        <f t="shared" si="10"/>
        <v>61.746535811230032</v>
      </c>
      <c r="CR30" s="171">
        <f t="shared" si="45"/>
        <v>-32689.33496</v>
      </c>
      <c r="CS30" s="171">
        <f t="shared" si="46"/>
        <v>-50.653081380342812</v>
      </c>
      <c r="CT30" s="171">
        <v>23096.97222</v>
      </c>
      <c r="CU30" s="173">
        <v>20471</v>
      </c>
      <c r="CV30" s="171">
        <f t="shared" si="47"/>
        <v>20471</v>
      </c>
      <c r="CW30" s="173">
        <v>17232.242999999999</v>
      </c>
      <c r="CX30" s="171">
        <f t="shared" ref="CX30" si="136">(CW30)</f>
        <v>17232.242999999999</v>
      </c>
      <c r="CY30" s="171">
        <f t="shared" si="11"/>
        <v>84.178804161985241</v>
      </c>
      <c r="CZ30" s="171">
        <f t="shared" si="49"/>
        <v>-25.391766349883937</v>
      </c>
      <c r="DA30" s="171">
        <v>33562.987110000002</v>
      </c>
      <c r="DB30" s="171">
        <v>2431.3283000000001</v>
      </c>
      <c r="DC30" s="173">
        <v>93069.908710000003</v>
      </c>
      <c r="DD30" s="171">
        <f t="shared" si="50"/>
        <v>93069.908710000003</v>
      </c>
      <c r="DE30" s="173">
        <v>1096.2343599999999</v>
      </c>
      <c r="DF30" s="171">
        <f t="shared" si="51"/>
        <v>1096.2343599999999</v>
      </c>
      <c r="DG30" s="171">
        <f t="shared" si="12"/>
        <v>59506.921600000001</v>
      </c>
      <c r="DH30" s="171">
        <f t="shared" si="13"/>
        <v>-1335.0939400000002</v>
      </c>
      <c r="DI30" s="171">
        <v>130000</v>
      </c>
      <c r="DJ30" s="174">
        <v>160000</v>
      </c>
      <c r="DK30" s="171">
        <f t="shared" si="52"/>
        <v>30000</v>
      </c>
      <c r="DL30" s="170">
        <v>1211021.7406899999</v>
      </c>
      <c r="DM30" s="170">
        <v>0</v>
      </c>
      <c r="DN30" s="170">
        <v>0</v>
      </c>
      <c r="DO30" s="170">
        <v>0</v>
      </c>
      <c r="DP30" s="171">
        <f t="shared" si="53"/>
        <v>1211021.7406899999</v>
      </c>
      <c r="DQ30" s="170">
        <v>1017929.35867</v>
      </c>
      <c r="DR30" s="170">
        <v>0</v>
      </c>
      <c r="DS30" s="170">
        <v>0</v>
      </c>
      <c r="DT30" s="170">
        <v>0</v>
      </c>
      <c r="DU30" s="171">
        <f t="shared" si="54"/>
        <v>1017929.35867</v>
      </c>
      <c r="DV30" s="174">
        <f t="shared" si="14"/>
        <v>1211021.7406899999</v>
      </c>
      <c r="DW30" s="174">
        <f t="shared" si="15"/>
        <v>1017929.35867</v>
      </c>
      <c r="DX30" s="171">
        <f t="shared" si="55"/>
        <v>84.055415726064311</v>
      </c>
      <c r="DY30" s="170">
        <v>294355</v>
      </c>
      <c r="DZ30" s="171">
        <f t="shared" si="56"/>
        <v>294355</v>
      </c>
      <c r="EA30" s="317">
        <v>36.5</v>
      </c>
      <c r="EB30" s="171">
        <f t="shared" si="57"/>
        <v>806452.05479452061</v>
      </c>
      <c r="EC30" s="171">
        <f t="shared" si="133"/>
        <v>294355</v>
      </c>
      <c r="ED30" s="171">
        <f t="shared" si="59"/>
        <v>0</v>
      </c>
      <c r="EE30" s="170">
        <v>296639.49716000003</v>
      </c>
      <c r="EF30" s="171">
        <f t="shared" si="60"/>
        <v>296639.49716000003</v>
      </c>
      <c r="EG30" s="171">
        <f t="shared" si="61"/>
        <v>812710.95112328767</v>
      </c>
      <c r="EH30" s="171">
        <f t="shared" si="134"/>
        <v>296639.49715999997</v>
      </c>
      <c r="EI30" s="171">
        <f t="shared" si="63"/>
        <v>0</v>
      </c>
      <c r="EJ30" s="173">
        <v>19070.53602</v>
      </c>
      <c r="EK30" s="171">
        <f t="shared" si="64"/>
        <v>19070.53602</v>
      </c>
      <c r="EL30" s="171">
        <v>19427</v>
      </c>
      <c r="EM30" s="171">
        <v>13752.89241</v>
      </c>
      <c r="EN30" s="171">
        <f t="shared" si="16"/>
        <v>-5317.6436099999992</v>
      </c>
      <c r="EO30" s="171">
        <f t="shared" si="65"/>
        <v>-27.884080470644264</v>
      </c>
      <c r="EV30" s="173">
        <v>0</v>
      </c>
      <c r="EW30" s="171">
        <f t="shared" si="66"/>
        <v>0</v>
      </c>
      <c r="EX30" s="313">
        <v>0</v>
      </c>
      <c r="EY30" s="171">
        <v>0.5</v>
      </c>
      <c r="EZ30" s="171">
        <f t="shared" si="17"/>
        <v>0.5</v>
      </c>
      <c r="FA30" s="171" t="e">
        <f t="shared" si="67"/>
        <v>#DIV/0!</v>
      </c>
      <c r="FB30" s="173">
        <v>298.98595999999998</v>
      </c>
      <c r="FC30" s="171">
        <f t="shared" si="68"/>
        <v>298.98595999999998</v>
      </c>
      <c r="FD30" s="171">
        <v>397</v>
      </c>
      <c r="FE30" s="171">
        <v>93.998289999999997</v>
      </c>
      <c r="FF30" s="171">
        <f t="shared" si="69"/>
        <v>-204.98766999999998</v>
      </c>
      <c r="FG30" s="171">
        <f t="shared" si="70"/>
        <v>-68.560968548489697</v>
      </c>
      <c r="FH30" s="171">
        <v>42141.022000000114</v>
      </c>
      <c r="FI30" s="171">
        <v>9565.7274899999993</v>
      </c>
      <c r="FJ30" s="171">
        <v>39073.089840000204</v>
      </c>
      <c r="FK30" s="171">
        <v>10047.480509999999</v>
      </c>
      <c r="FL30" s="171">
        <f t="shared" si="71"/>
        <v>-3067.9321599999093</v>
      </c>
      <c r="FM30" s="171">
        <f t="shared" si="72"/>
        <v>481.75302000000011</v>
      </c>
      <c r="FN30" s="171">
        <v>5295.0794599999999</v>
      </c>
      <c r="FO30" s="171">
        <v>5295.0794599999999</v>
      </c>
      <c r="FP30" s="171">
        <v>4645.6095999999998</v>
      </c>
      <c r="FQ30" s="171">
        <v>4645.6095999999998</v>
      </c>
      <c r="FR30" s="171">
        <f t="shared" si="73"/>
        <v>-649.46986000000015</v>
      </c>
      <c r="FS30" s="171">
        <f t="shared" si="74"/>
        <v>-649.46986000000015</v>
      </c>
      <c r="FT30" s="171">
        <v>5914.5423899999996</v>
      </c>
      <c r="FU30" s="171">
        <v>304.91672</v>
      </c>
      <c r="FV30" s="171">
        <v>4865.5576099999998</v>
      </c>
      <c r="FW30" s="171">
        <v>298.66190999999998</v>
      </c>
      <c r="FX30" s="171">
        <f t="shared" si="75"/>
        <v>-1048.9847799999998</v>
      </c>
      <c r="FY30" s="171">
        <f t="shared" si="76"/>
        <v>-6.2548100000000204</v>
      </c>
      <c r="FZ30" s="171">
        <v>25142.646430000001</v>
      </c>
      <c r="GA30" s="171">
        <v>3514.0428200000001</v>
      </c>
      <c r="GB30" s="171">
        <v>20733.267479999999</v>
      </c>
      <c r="GC30" s="171">
        <v>4367.8117300000004</v>
      </c>
      <c r="GD30" s="171">
        <f t="shared" si="77"/>
        <v>-4409.3789500000021</v>
      </c>
      <c r="GE30" s="171">
        <f t="shared" si="78"/>
        <v>853.76891000000023</v>
      </c>
      <c r="GJ30" s="171">
        <f t="shared" si="79"/>
        <v>0</v>
      </c>
      <c r="GK30" s="171">
        <f t="shared" si="80"/>
        <v>0</v>
      </c>
      <c r="GL30" s="171">
        <v>0</v>
      </c>
      <c r="GM30" s="171">
        <v>0</v>
      </c>
      <c r="GN30" s="171">
        <v>0</v>
      </c>
      <c r="GO30" s="171">
        <v>0</v>
      </c>
      <c r="GP30" s="171">
        <f t="shared" si="81"/>
        <v>0</v>
      </c>
      <c r="GQ30" s="171">
        <f t="shared" si="82"/>
        <v>0</v>
      </c>
      <c r="GV30" s="171">
        <f t="shared" si="83"/>
        <v>0</v>
      </c>
      <c r="GW30" s="171">
        <f t="shared" si="84"/>
        <v>0</v>
      </c>
      <c r="HB30" s="171">
        <f t="shared" si="85"/>
        <v>0</v>
      </c>
      <c r="HC30" s="171">
        <f t="shared" si="86"/>
        <v>0</v>
      </c>
      <c r="HH30" s="171">
        <f t="shared" si="87"/>
        <v>0</v>
      </c>
      <c r="HI30" s="171">
        <f t="shared" si="88"/>
        <v>0</v>
      </c>
      <c r="HN30" s="171">
        <f t="shared" si="89"/>
        <v>0</v>
      </c>
      <c r="HO30" s="171">
        <f t="shared" si="90"/>
        <v>0</v>
      </c>
      <c r="HP30" s="171">
        <v>3651.9521399999999</v>
      </c>
      <c r="HQ30" s="171">
        <v>136.12437</v>
      </c>
      <c r="HR30" s="171">
        <v>992.89080000000001</v>
      </c>
      <c r="HS30" s="171">
        <v>587.32147999999995</v>
      </c>
      <c r="HT30" s="171">
        <f t="shared" si="91"/>
        <v>-2659.0613399999997</v>
      </c>
      <c r="HU30" s="171">
        <f t="shared" si="92"/>
        <v>451.19710999999995</v>
      </c>
      <c r="HV30" s="171">
        <v>81.889099999999999</v>
      </c>
      <c r="HW30" s="171">
        <v>81.889099999999999</v>
      </c>
      <c r="HX30" s="171">
        <v>0</v>
      </c>
      <c r="HY30" s="171">
        <v>0</v>
      </c>
      <c r="HZ30" s="171">
        <f t="shared" si="93"/>
        <v>-81.889099999999999</v>
      </c>
      <c r="IA30" s="171">
        <f t="shared" si="94"/>
        <v>-81.889099999999999</v>
      </c>
      <c r="IB30" s="171">
        <v>0</v>
      </c>
      <c r="IC30" s="171">
        <v>0</v>
      </c>
      <c r="ID30" s="171">
        <v>0</v>
      </c>
      <c r="IE30" s="171">
        <v>0</v>
      </c>
      <c r="IF30" s="171">
        <f t="shared" si="95"/>
        <v>0</v>
      </c>
      <c r="IG30" s="171">
        <f t="shared" si="96"/>
        <v>0</v>
      </c>
      <c r="IH30" s="171">
        <v>0</v>
      </c>
      <c r="II30" s="171">
        <v>0</v>
      </c>
      <c r="IJ30" s="171">
        <v>0</v>
      </c>
      <c r="IK30" s="171">
        <v>0</v>
      </c>
      <c r="IL30" s="171">
        <f t="shared" si="97"/>
        <v>0</v>
      </c>
      <c r="IM30" s="171">
        <f t="shared" si="98"/>
        <v>0</v>
      </c>
      <c r="IN30" s="171">
        <v>0</v>
      </c>
      <c r="IO30" s="171">
        <v>0</v>
      </c>
      <c r="IP30" s="171">
        <v>0</v>
      </c>
      <c r="IQ30" s="171">
        <v>0</v>
      </c>
      <c r="IR30" s="171">
        <f t="shared" si="99"/>
        <v>0</v>
      </c>
      <c r="IS30" s="171">
        <f t="shared" si="100"/>
        <v>0</v>
      </c>
      <c r="IT30" s="171">
        <v>51730.921199999997</v>
      </c>
      <c r="IU30" s="171">
        <v>0</v>
      </c>
      <c r="IV30" s="171">
        <v>24234.233060000002</v>
      </c>
      <c r="IW30" s="171">
        <v>0</v>
      </c>
      <c r="IX30" s="171">
        <f t="shared" si="101"/>
        <v>-27496.688139999995</v>
      </c>
      <c r="IY30" s="171">
        <f t="shared" si="102"/>
        <v>0</v>
      </c>
      <c r="JB30" s="171">
        <f t="shared" si="103"/>
        <v>0</v>
      </c>
      <c r="JE30" s="171">
        <f t="shared" si="104"/>
        <v>0</v>
      </c>
      <c r="JF30" s="171">
        <v>0</v>
      </c>
      <c r="JG30" s="171">
        <v>0</v>
      </c>
      <c r="JH30" s="171">
        <f t="shared" si="105"/>
        <v>0</v>
      </c>
      <c r="JI30" s="171">
        <v>0</v>
      </c>
      <c r="JJ30" s="171">
        <v>0</v>
      </c>
      <c r="JK30" s="171">
        <f t="shared" si="106"/>
        <v>0</v>
      </c>
      <c r="JL30" s="171">
        <v>0</v>
      </c>
      <c r="JM30" s="171">
        <v>0</v>
      </c>
      <c r="JN30" s="171">
        <f t="shared" si="107"/>
        <v>0</v>
      </c>
      <c r="JO30" s="171">
        <v>0</v>
      </c>
      <c r="JP30" s="171">
        <v>0</v>
      </c>
      <c r="JQ30" s="171">
        <f t="shared" si="108"/>
        <v>0</v>
      </c>
      <c r="JR30" s="171">
        <v>0</v>
      </c>
      <c r="JS30" s="171">
        <v>0</v>
      </c>
      <c r="JT30" s="171">
        <f t="shared" si="109"/>
        <v>0</v>
      </c>
      <c r="JU30" s="171">
        <v>0</v>
      </c>
      <c r="JV30" s="171">
        <v>0</v>
      </c>
      <c r="JW30" s="171">
        <f t="shared" si="110"/>
        <v>0</v>
      </c>
      <c r="JX30" s="171">
        <v>0</v>
      </c>
      <c r="JY30" s="171">
        <v>0</v>
      </c>
      <c r="JZ30" s="171">
        <f t="shared" si="111"/>
        <v>0</v>
      </c>
      <c r="KA30" s="171">
        <v>45120.425810000001</v>
      </c>
      <c r="KC30" s="171">
        <v>19265.255850000001</v>
      </c>
      <c r="KE30" s="171">
        <f t="shared" si="112"/>
        <v>-25855.169959999999</v>
      </c>
      <c r="KF30" s="171">
        <f t="shared" si="113"/>
        <v>0</v>
      </c>
    </row>
    <row r="31" spans="1:293" s="171" customFormat="1" x14ac:dyDescent="0.25">
      <c r="A31" s="169" t="s">
        <v>175</v>
      </c>
      <c r="B31" s="170">
        <v>1165426.51079</v>
      </c>
      <c r="C31" s="170">
        <v>0</v>
      </c>
      <c r="D31" s="170">
        <v>0</v>
      </c>
      <c r="E31" s="170">
        <v>0</v>
      </c>
      <c r="F31" s="171">
        <f t="shared" si="19"/>
        <v>1165426.51079</v>
      </c>
      <c r="G31" s="170">
        <v>1172550.10296</v>
      </c>
      <c r="H31" s="170">
        <v>0</v>
      </c>
      <c r="I31" s="170">
        <v>0</v>
      </c>
      <c r="J31" s="170">
        <v>0</v>
      </c>
      <c r="K31" s="171">
        <f t="shared" si="20"/>
        <v>1172550.10296</v>
      </c>
      <c r="L31" s="170">
        <v>0</v>
      </c>
      <c r="M31" s="170">
        <v>0</v>
      </c>
      <c r="N31" s="170">
        <v>0</v>
      </c>
      <c r="O31" s="171">
        <f t="shared" si="21"/>
        <v>0</v>
      </c>
      <c r="P31" s="170">
        <v>0</v>
      </c>
      <c r="Q31" s="170">
        <v>0</v>
      </c>
      <c r="R31" s="170">
        <v>0</v>
      </c>
      <c r="S31" s="171">
        <f t="shared" si="22"/>
        <v>0</v>
      </c>
      <c r="T31" s="170">
        <v>1212174.719</v>
      </c>
      <c r="U31" s="170">
        <v>0</v>
      </c>
      <c r="V31" s="170">
        <v>0</v>
      </c>
      <c r="W31" s="170">
        <v>0</v>
      </c>
      <c r="X31" s="171">
        <f t="shared" si="23"/>
        <v>1212174.719</v>
      </c>
      <c r="Y31" s="170">
        <v>1183819.1291</v>
      </c>
      <c r="Z31" s="170">
        <v>0</v>
      </c>
      <c r="AA31" s="170">
        <v>0</v>
      </c>
      <c r="AB31" s="170">
        <v>0</v>
      </c>
      <c r="AC31" s="171">
        <f t="shared" si="24"/>
        <v>1183819.1291</v>
      </c>
      <c r="AD31" s="171">
        <f t="shared" si="25"/>
        <v>1165426.51079</v>
      </c>
      <c r="AE31" s="171">
        <f t="shared" si="0"/>
        <v>1172550.10296</v>
      </c>
      <c r="AF31" s="171">
        <f t="shared" si="26"/>
        <v>100.61124336061064</v>
      </c>
      <c r="AG31" s="172">
        <v>1165427</v>
      </c>
      <c r="AH31" s="172">
        <f t="shared" si="27"/>
        <v>0.48921000002883375</v>
      </c>
      <c r="AI31" s="172">
        <v>1172550</v>
      </c>
      <c r="AJ31" s="172">
        <f t="shared" si="28"/>
        <v>-0.1029600000474602</v>
      </c>
      <c r="AK31" s="171">
        <f t="shared" si="1"/>
        <v>1212174.719</v>
      </c>
      <c r="AL31" s="171">
        <f t="shared" si="2"/>
        <v>1183819.1291</v>
      </c>
      <c r="AM31" s="171">
        <f t="shared" si="29"/>
        <v>97.660767094417523</v>
      </c>
      <c r="AN31" s="173">
        <v>-46867.311529999999</v>
      </c>
      <c r="AO31" s="173">
        <v>0</v>
      </c>
      <c r="AP31" s="173">
        <v>0</v>
      </c>
      <c r="AQ31" s="173">
        <v>0</v>
      </c>
      <c r="AR31" s="171">
        <f t="shared" si="30"/>
        <v>-46867.311529999999</v>
      </c>
      <c r="AS31" s="173">
        <v>-11269.02614</v>
      </c>
      <c r="AT31" s="173">
        <v>0</v>
      </c>
      <c r="AU31" s="173">
        <v>0</v>
      </c>
      <c r="AV31" s="173">
        <v>0</v>
      </c>
      <c r="AW31" s="171">
        <f t="shared" si="31"/>
        <v>-11269.02614</v>
      </c>
      <c r="AX31" s="170">
        <v>721877.98413</v>
      </c>
      <c r="AY31" s="170">
        <v>0</v>
      </c>
      <c r="AZ31" s="170">
        <v>0</v>
      </c>
      <c r="BA31" s="170">
        <v>0</v>
      </c>
      <c r="BB31" s="312">
        <f t="shared" si="32"/>
        <v>0</v>
      </c>
      <c r="BC31" s="171">
        <f t="shared" si="33"/>
        <v>721877.98413</v>
      </c>
      <c r="BD31" s="170">
        <v>720048.33267000003</v>
      </c>
      <c r="BE31" s="170">
        <v>0</v>
      </c>
      <c r="BF31" s="170">
        <v>0</v>
      </c>
      <c r="BG31" s="170">
        <v>0</v>
      </c>
      <c r="BH31" s="312">
        <f t="shared" si="3"/>
        <v>0</v>
      </c>
      <c r="BI31" s="171">
        <f t="shared" si="34"/>
        <v>720048.33267000003</v>
      </c>
      <c r="BJ31" s="171">
        <f t="shared" si="4"/>
        <v>721877.98413</v>
      </c>
      <c r="BK31" s="171">
        <f t="shared" si="5"/>
        <v>720048.33267000003</v>
      </c>
      <c r="BL31" s="171">
        <f t="shared" si="35"/>
        <v>99.746542836847269</v>
      </c>
      <c r="BM31" s="170">
        <v>443317.72700000001</v>
      </c>
      <c r="BN31" s="170">
        <v>0</v>
      </c>
      <c r="BO31" s="170">
        <v>0</v>
      </c>
      <c r="BP31" s="170">
        <v>0</v>
      </c>
      <c r="BQ31" s="171">
        <f t="shared" si="36"/>
        <v>443317.72700000001</v>
      </c>
      <c r="BR31" s="171">
        <f t="shared" si="6"/>
        <v>443317.72700000001</v>
      </c>
      <c r="BS31" s="170">
        <v>452270.97219</v>
      </c>
      <c r="BT31" s="170">
        <v>0</v>
      </c>
      <c r="BU31" s="170">
        <v>0</v>
      </c>
      <c r="BV31" s="170">
        <v>0</v>
      </c>
      <c r="BW31" s="171">
        <f t="shared" si="37"/>
        <v>452270.97219</v>
      </c>
      <c r="BX31" s="171">
        <f t="shared" si="7"/>
        <v>452270.97219</v>
      </c>
      <c r="BY31" s="171">
        <v>28383.740600000001</v>
      </c>
      <c r="BZ31" s="173">
        <v>21242.560000000001</v>
      </c>
      <c r="CA31" s="171">
        <f t="shared" si="38"/>
        <v>21242.560000000001</v>
      </c>
      <c r="CB31" s="173">
        <v>21616.619060000001</v>
      </c>
      <c r="CC31" s="171">
        <f t="shared" si="38"/>
        <v>21616.619060000001</v>
      </c>
      <c r="CD31" s="171">
        <f t="shared" si="8"/>
        <v>101.7608944496332</v>
      </c>
      <c r="CE31" s="171">
        <f t="shared" si="39"/>
        <v>-23.841542365279366</v>
      </c>
      <c r="CF31" s="173">
        <v>3675.3496500000001</v>
      </c>
      <c r="CG31" s="171">
        <f t="shared" si="40"/>
        <v>3675.3496500000001</v>
      </c>
      <c r="CH31" s="269">
        <v>3157.0754999999999</v>
      </c>
      <c r="CI31" s="171">
        <f t="shared" si="41"/>
        <v>3157.0754999999999</v>
      </c>
      <c r="CJ31" s="171">
        <f t="shared" si="9"/>
        <v>85.898643684145796</v>
      </c>
      <c r="CK31" s="173">
        <v>34978.111449999997</v>
      </c>
      <c r="CL31" s="171">
        <f t="shared" si="42"/>
        <v>34978.111449999997</v>
      </c>
      <c r="CM31" s="173">
        <v>44286.841520000002</v>
      </c>
      <c r="CN31" s="171">
        <f t="shared" si="43"/>
        <v>44286.841520000002</v>
      </c>
      <c r="CO31" s="173">
        <v>35286.662519999998</v>
      </c>
      <c r="CP31" s="171">
        <f t="shared" si="44"/>
        <v>35286.662519999998</v>
      </c>
      <c r="CQ31" s="171">
        <f t="shared" si="10"/>
        <v>100.88212615607068</v>
      </c>
      <c r="CR31" s="171">
        <f t="shared" si="45"/>
        <v>-9000.1790000000037</v>
      </c>
      <c r="CS31" s="171">
        <f t="shared" si="46"/>
        <v>-20.322467557176125</v>
      </c>
      <c r="CT31" s="171">
        <v>23596.35082</v>
      </c>
      <c r="CU31" s="173">
        <v>15842.737999999999</v>
      </c>
      <c r="CV31" s="171">
        <f t="shared" si="47"/>
        <v>15842.737999999999</v>
      </c>
      <c r="CW31" s="173">
        <v>15558.631799999999</v>
      </c>
      <c r="CX31" s="171">
        <f t="shared" ref="CX31" si="137">(CW31)</f>
        <v>15558.631799999999</v>
      </c>
      <c r="CY31" s="171">
        <f t="shared" si="11"/>
        <v>98.206710229002084</v>
      </c>
      <c r="CZ31" s="171">
        <f t="shared" si="49"/>
        <v>-34.063398536977687</v>
      </c>
      <c r="DA31" s="171">
        <v>20954.868890000002</v>
      </c>
      <c r="DB31" s="171">
        <v>3706.1765999999998</v>
      </c>
      <c r="DC31" s="173">
        <v>6520.3427499999998</v>
      </c>
      <c r="DD31" s="171">
        <f t="shared" si="50"/>
        <v>6520.3427499999998</v>
      </c>
      <c r="DE31" s="173">
        <v>0.10589999999999999</v>
      </c>
      <c r="DF31" s="171">
        <f t="shared" si="51"/>
        <v>0.10589999999999999</v>
      </c>
      <c r="DG31" s="171">
        <f t="shared" si="12"/>
        <v>-14434.526140000002</v>
      </c>
      <c r="DH31" s="171">
        <f t="shared" si="13"/>
        <v>-3706.0706999999998</v>
      </c>
      <c r="DI31" s="171">
        <v>136265.5</v>
      </c>
      <c r="DJ31" s="174">
        <v>133100</v>
      </c>
      <c r="DK31" s="171">
        <f t="shared" si="52"/>
        <v>-3165.5</v>
      </c>
      <c r="DL31" s="170">
        <v>722108.78379000002</v>
      </c>
      <c r="DM31" s="170">
        <v>0</v>
      </c>
      <c r="DN31" s="170">
        <v>0</v>
      </c>
      <c r="DO31" s="170">
        <v>0</v>
      </c>
      <c r="DP31" s="171">
        <f t="shared" si="53"/>
        <v>722108.78379000002</v>
      </c>
      <c r="DQ31" s="170">
        <v>720279.13077000005</v>
      </c>
      <c r="DR31" s="170">
        <v>0</v>
      </c>
      <c r="DS31" s="170">
        <v>0</v>
      </c>
      <c r="DT31" s="170">
        <v>0</v>
      </c>
      <c r="DU31" s="171">
        <f t="shared" si="54"/>
        <v>720279.13077000005</v>
      </c>
      <c r="DV31" s="174">
        <f t="shared" si="14"/>
        <v>722108.78379000002</v>
      </c>
      <c r="DW31" s="174">
        <f t="shared" si="15"/>
        <v>720279.13077000005</v>
      </c>
      <c r="DX31" s="171">
        <f t="shared" si="55"/>
        <v>99.746623630528759</v>
      </c>
      <c r="DY31" s="170">
        <v>344061.61206999997</v>
      </c>
      <c r="DZ31" s="171">
        <f t="shared" si="56"/>
        <v>344061.61206999997</v>
      </c>
      <c r="EA31" s="317">
        <v>36.5</v>
      </c>
      <c r="EB31" s="171">
        <f t="shared" si="57"/>
        <v>942634.55361643818</v>
      </c>
      <c r="EC31" s="171">
        <f t="shared" si="133"/>
        <v>344061.61206999992</v>
      </c>
      <c r="ED31" s="171">
        <f t="shared" si="59"/>
        <v>0</v>
      </c>
      <c r="EE31" s="170">
        <v>352175.76510999998</v>
      </c>
      <c r="EF31" s="171">
        <f t="shared" si="60"/>
        <v>352175.76510999998</v>
      </c>
      <c r="EG31" s="171">
        <f t="shared" si="61"/>
        <v>964865.10989041091</v>
      </c>
      <c r="EH31" s="171">
        <f t="shared" si="134"/>
        <v>352175.76510999998</v>
      </c>
      <c r="EI31" s="171">
        <f t="shared" si="63"/>
        <v>0</v>
      </c>
      <c r="EJ31" s="173">
        <v>28173.84634</v>
      </c>
      <c r="EK31" s="171">
        <f t="shared" si="64"/>
        <v>28173.84634</v>
      </c>
      <c r="EL31" s="171">
        <v>21097</v>
      </c>
      <c r="EM31" s="171">
        <v>21471.05906</v>
      </c>
      <c r="EN31" s="171">
        <f t="shared" si="16"/>
        <v>-6702.7872800000005</v>
      </c>
      <c r="EO31" s="171">
        <f t="shared" si="65"/>
        <v>-23.790813647207528</v>
      </c>
      <c r="EV31" s="173">
        <v>0</v>
      </c>
      <c r="EW31" s="171">
        <f t="shared" si="66"/>
        <v>0</v>
      </c>
      <c r="EX31" s="313">
        <v>0</v>
      </c>
      <c r="EY31" s="171">
        <v>0</v>
      </c>
      <c r="EZ31" s="171">
        <f t="shared" si="17"/>
        <v>0</v>
      </c>
      <c r="FA31" s="171" t="e">
        <f t="shared" si="67"/>
        <v>#DIV/0!</v>
      </c>
      <c r="FB31" s="173">
        <v>209.89426</v>
      </c>
      <c r="FC31" s="171">
        <f t="shared" si="68"/>
        <v>209.89426</v>
      </c>
      <c r="FD31" s="171">
        <v>145.56</v>
      </c>
      <c r="FE31" s="171">
        <v>145.56</v>
      </c>
      <c r="FF31" s="171">
        <f t="shared" si="69"/>
        <v>-64.33426</v>
      </c>
      <c r="FG31" s="171">
        <f t="shared" si="70"/>
        <v>-30.650795309981319</v>
      </c>
      <c r="FH31" s="171">
        <v>16489.263510000201</v>
      </c>
      <c r="FI31" s="171">
        <v>12075.07101</v>
      </c>
      <c r="FJ31" s="171">
        <v>16149.253769999952</v>
      </c>
      <c r="FK31" s="171">
        <v>13216.59267</v>
      </c>
      <c r="FL31" s="171">
        <f t="shared" si="71"/>
        <v>-340.00974000024871</v>
      </c>
      <c r="FM31" s="171">
        <f t="shared" si="72"/>
        <v>1141.5216600000003</v>
      </c>
      <c r="FN31" s="171">
        <v>5159.9498000000003</v>
      </c>
      <c r="FO31" s="171">
        <v>5159.9498000000003</v>
      </c>
      <c r="FP31" s="171">
        <v>5254.85563</v>
      </c>
      <c r="FQ31" s="171">
        <v>5254.85563</v>
      </c>
      <c r="FR31" s="171">
        <f t="shared" si="73"/>
        <v>94.905829999999696</v>
      </c>
      <c r="FS31" s="171">
        <f t="shared" si="74"/>
        <v>94.905829999999696</v>
      </c>
      <c r="FT31" s="171">
        <v>1632.2455199999999</v>
      </c>
      <c r="FU31" s="171">
        <v>1632.2455199999999</v>
      </c>
      <c r="FV31" s="171">
        <v>1432.1365699999999</v>
      </c>
      <c r="FW31" s="171">
        <v>1432.1365699999999</v>
      </c>
      <c r="FX31" s="171">
        <f t="shared" si="75"/>
        <v>-200.10895000000005</v>
      </c>
      <c r="FY31" s="171">
        <f t="shared" si="76"/>
        <v>-200.10895000000005</v>
      </c>
      <c r="FZ31" s="171">
        <v>2294.0239099999999</v>
      </c>
      <c r="GA31" s="171">
        <v>2294.0239099999999</v>
      </c>
      <c r="GB31" s="171">
        <v>2354.3954800000001</v>
      </c>
      <c r="GC31" s="171">
        <v>2354.3954800000001</v>
      </c>
      <c r="GD31" s="171">
        <f t="shared" si="77"/>
        <v>60.371570000000247</v>
      </c>
      <c r="GE31" s="171">
        <f t="shared" si="78"/>
        <v>60.371570000000247</v>
      </c>
      <c r="GJ31" s="171">
        <f t="shared" si="79"/>
        <v>0</v>
      </c>
      <c r="GK31" s="171">
        <f t="shared" si="80"/>
        <v>0</v>
      </c>
      <c r="GL31" s="171">
        <v>1675.16689</v>
      </c>
      <c r="GM31" s="171">
        <v>1675.16689</v>
      </c>
      <c r="GN31" s="171">
        <v>1921.9391900000001</v>
      </c>
      <c r="GO31" s="171">
        <v>1921.9391900000001</v>
      </c>
      <c r="GP31" s="171">
        <f t="shared" si="81"/>
        <v>246.77230000000009</v>
      </c>
      <c r="GQ31" s="171">
        <f t="shared" si="82"/>
        <v>246.77230000000009</v>
      </c>
      <c r="GV31" s="171">
        <f t="shared" si="83"/>
        <v>0</v>
      </c>
      <c r="GW31" s="171">
        <f t="shared" si="84"/>
        <v>0</v>
      </c>
      <c r="HB31" s="171">
        <f t="shared" si="85"/>
        <v>0</v>
      </c>
      <c r="HC31" s="171">
        <f t="shared" si="86"/>
        <v>0</v>
      </c>
      <c r="HH31" s="171">
        <f t="shared" si="87"/>
        <v>0</v>
      </c>
      <c r="HI31" s="171">
        <f t="shared" si="88"/>
        <v>0</v>
      </c>
      <c r="HN31" s="171">
        <f t="shared" si="89"/>
        <v>0</v>
      </c>
      <c r="HO31" s="171">
        <f t="shared" si="90"/>
        <v>0</v>
      </c>
      <c r="HP31" s="171">
        <v>2715.9334699999999</v>
      </c>
      <c r="HQ31" s="171">
        <v>261.32105000000001</v>
      </c>
      <c r="HR31" s="171">
        <v>2331.4635199999998</v>
      </c>
      <c r="HS31" s="171">
        <v>173.5</v>
      </c>
      <c r="HT31" s="171">
        <f t="shared" si="91"/>
        <v>-384.46995000000015</v>
      </c>
      <c r="HU31" s="171">
        <f t="shared" si="92"/>
        <v>-87.821050000000014</v>
      </c>
      <c r="HV31" s="171">
        <v>1430.385</v>
      </c>
      <c r="HW31" s="171">
        <v>1035.9235799999999</v>
      </c>
      <c r="HX31" s="171">
        <v>2068.7107700000001</v>
      </c>
      <c r="HY31" s="171">
        <v>2068.7107700000001</v>
      </c>
      <c r="HZ31" s="171">
        <f t="shared" si="93"/>
        <v>638.32577000000015</v>
      </c>
      <c r="IA31" s="171">
        <f t="shared" si="94"/>
        <v>1032.7871900000002</v>
      </c>
      <c r="IB31" s="171">
        <v>0</v>
      </c>
      <c r="IC31" s="171">
        <v>0</v>
      </c>
      <c r="ID31" s="171">
        <v>0</v>
      </c>
      <c r="IE31" s="171">
        <v>0</v>
      </c>
      <c r="IF31" s="171">
        <f t="shared" si="95"/>
        <v>0</v>
      </c>
      <c r="IG31" s="171">
        <f t="shared" si="96"/>
        <v>0</v>
      </c>
      <c r="IH31" s="171">
        <v>4.2779999999999996</v>
      </c>
      <c r="II31" s="171">
        <v>0</v>
      </c>
      <c r="IJ31" s="171">
        <v>26.321999999999999</v>
      </c>
      <c r="IK31" s="171">
        <v>0</v>
      </c>
      <c r="IL31" s="171">
        <f t="shared" si="97"/>
        <v>22.044</v>
      </c>
      <c r="IM31" s="171">
        <f t="shared" si="98"/>
        <v>0</v>
      </c>
      <c r="IN31" s="171">
        <v>0</v>
      </c>
      <c r="IO31" s="171">
        <v>0</v>
      </c>
      <c r="IP31" s="171">
        <v>0</v>
      </c>
      <c r="IQ31" s="171">
        <v>0</v>
      </c>
      <c r="IR31" s="171">
        <f t="shared" si="99"/>
        <v>0</v>
      </c>
      <c r="IS31" s="171">
        <f t="shared" si="100"/>
        <v>0</v>
      </c>
      <c r="IT31" s="171">
        <v>35205.701939999999</v>
      </c>
      <c r="IU31" s="171">
        <v>0</v>
      </c>
      <c r="IV31" s="171">
        <v>12343.93642</v>
      </c>
      <c r="IW31" s="171">
        <v>0</v>
      </c>
      <c r="IX31" s="171">
        <f t="shared" si="101"/>
        <v>-22861.765520000001</v>
      </c>
      <c r="IY31" s="171">
        <f t="shared" si="102"/>
        <v>0</v>
      </c>
      <c r="JB31" s="171">
        <f t="shared" si="103"/>
        <v>0</v>
      </c>
      <c r="JE31" s="171">
        <f t="shared" si="104"/>
        <v>0</v>
      </c>
      <c r="JF31" s="171">
        <v>0</v>
      </c>
      <c r="JG31" s="171">
        <v>0</v>
      </c>
      <c r="JH31" s="171">
        <f t="shared" si="105"/>
        <v>0</v>
      </c>
      <c r="JI31" s="171">
        <v>0</v>
      </c>
      <c r="JJ31" s="171">
        <v>0</v>
      </c>
      <c r="JK31" s="171">
        <f t="shared" si="106"/>
        <v>0</v>
      </c>
      <c r="JL31" s="171">
        <v>0</v>
      </c>
      <c r="JM31" s="171">
        <v>0</v>
      </c>
      <c r="JN31" s="171">
        <f t="shared" si="107"/>
        <v>0</v>
      </c>
      <c r="JO31" s="171">
        <v>0</v>
      </c>
      <c r="JP31" s="171">
        <v>0</v>
      </c>
      <c r="JQ31" s="171">
        <f t="shared" si="108"/>
        <v>0</v>
      </c>
      <c r="JR31" s="171">
        <v>0</v>
      </c>
      <c r="JS31" s="171">
        <v>0</v>
      </c>
      <c r="JT31" s="171">
        <f t="shared" si="109"/>
        <v>0</v>
      </c>
      <c r="JU31" s="171">
        <v>0</v>
      </c>
      <c r="JV31" s="171">
        <v>0</v>
      </c>
      <c r="JW31" s="171">
        <f t="shared" si="110"/>
        <v>0</v>
      </c>
      <c r="JX31" s="171">
        <v>0</v>
      </c>
      <c r="JY31" s="171">
        <v>0</v>
      </c>
      <c r="JZ31" s="171">
        <f t="shared" si="111"/>
        <v>0</v>
      </c>
      <c r="KA31" s="171">
        <v>34177.496509999997</v>
      </c>
      <c r="KC31" s="171">
        <v>11212.455739999999</v>
      </c>
      <c r="KE31" s="171">
        <f t="shared" si="112"/>
        <v>-22965.04077</v>
      </c>
      <c r="KF31" s="171">
        <f t="shared" si="113"/>
        <v>0</v>
      </c>
    </row>
    <row r="32" spans="1:293" s="171" customFormat="1" x14ac:dyDescent="0.25">
      <c r="A32" s="169" t="s">
        <v>176</v>
      </c>
      <c r="B32" s="170">
        <v>1775779.98658</v>
      </c>
      <c r="C32" s="170">
        <v>0</v>
      </c>
      <c r="D32" s="170">
        <v>0</v>
      </c>
      <c r="E32" s="170">
        <v>0</v>
      </c>
      <c r="F32" s="171">
        <f t="shared" si="19"/>
        <v>1775779.98658</v>
      </c>
      <c r="G32" s="170">
        <v>1774013.9242199999</v>
      </c>
      <c r="H32" s="170">
        <v>0</v>
      </c>
      <c r="I32" s="170">
        <v>0</v>
      </c>
      <c r="J32" s="170">
        <v>0</v>
      </c>
      <c r="K32" s="171">
        <f t="shared" si="20"/>
        <v>1774013.9242199999</v>
      </c>
      <c r="L32" s="170">
        <v>0</v>
      </c>
      <c r="M32" s="170">
        <v>0</v>
      </c>
      <c r="N32" s="170">
        <v>0</v>
      </c>
      <c r="O32" s="171">
        <f t="shared" si="21"/>
        <v>0</v>
      </c>
      <c r="P32" s="170">
        <v>0</v>
      </c>
      <c r="Q32" s="170">
        <v>0</v>
      </c>
      <c r="R32" s="170">
        <v>0</v>
      </c>
      <c r="S32" s="171">
        <f t="shared" si="22"/>
        <v>0</v>
      </c>
      <c r="T32" s="170">
        <v>1849404.0086999999</v>
      </c>
      <c r="U32" s="170">
        <v>0</v>
      </c>
      <c r="V32" s="170">
        <v>0</v>
      </c>
      <c r="W32" s="170">
        <v>0</v>
      </c>
      <c r="X32" s="171">
        <f t="shared" si="23"/>
        <v>1849404.0086999999</v>
      </c>
      <c r="Y32" s="170">
        <v>1763000.7989399999</v>
      </c>
      <c r="Z32" s="170">
        <v>0</v>
      </c>
      <c r="AA32" s="170">
        <v>0</v>
      </c>
      <c r="AB32" s="170">
        <v>0</v>
      </c>
      <c r="AC32" s="171">
        <f t="shared" si="24"/>
        <v>1763000.7989399999</v>
      </c>
      <c r="AD32" s="171">
        <f t="shared" si="25"/>
        <v>1775779.98658</v>
      </c>
      <c r="AE32" s="171">
        <f t="shared" si="0"/>
        <v>1774013.9242199999</v>
      </c>
      <c r="AF32" s="171">
        <f t="shared" si="26"/>
        <v>99.900547231450602</v>
      </c>
      <c r="AG32" s="172">
        <v>1775780</v>
      </c>
      <c r="AH32" s="172">
        <f t="shared" si="27"/>
        <v>1.3419999973848462E-2</v>
      </c>
      <c r="AI32" s="172">
        <v>1774014</v>
      </c>
      <c r="AJ32" s="172">
        <f t="shared" si="28"/>
        <v>7.5780000071972609E-2</v>
      </c>
      <c r="AK32" s="171">
        <f t="shared" si="1"/>
        <v>1849404.0086999999</v>
      </c>
      <c r="AL32" s="171">
        <f t="shared" si="2"/>
        <v>1763000.7989399999</v>
      </c>
      <c r="AM32" s="171">
        <f t="shared" si="29"/>
        <v>95.328051126009228</v>
      </c>
      <c r="AN32" s="173">
        <v>-73095.522159999993</v>
      </c>
      <c r="AO32" s="173">
        <v>0</v>
      </c>
      <c r="AP32" s="173">
        <v>0</v>
      </c>
      <c r="AQ32" s="173">
        <v>0</v>
      </c>
      <c r="AR32" s="171">
        <f t="shared" si="30"/>
        <v>-73095.522159999993</v>
      </c>
      <c r="AS32" s="173">
        <v>11013.12528</v>
      </c>
      <c r="AT32" s="173">
        <v>0</v>
      </c>
      <c r="AU32" s="173">
        <v>0</v>
      </c>
      <c r="AV32" s="173">
        <v>0</v>
      </c>
      <c r="AW32" s="171">
        <f t="shared" si="31"/>
        <v>11013.12528</v>
      </c>
      <c r="AX32" s="170">
        <v>1239970.6203399999</v>
      </c>
      <c r="AY32" s="170">
        <v>0</v>
      </c>
      <c r="AZ32" s="170">
        <v>0</v>
      </c>
      <c r="BA32" s="170">
        <v>0</v>
      </c>
      <c r="BB32" s="312">
        <f t="shared" si="32"/>
        <v>0</v>
      </c>
      <c r="BC32" s="171">
        <f t="shared" si="33"/>
        <v>1239970.6203399999</v>
      </c>
      <c r="BD32" s="170">
        <v>1236084.01355</v>
      </c>
      <c r="BE32" s="170">
        <v>0</v>
      </c>
      <c r="BF32" s="170">
        <v>0</v>
      </c>
      <c r="BG32" s="170">
        <v>0</v>
      </c>
      <c r="BH32" s="312">
        <f t="shared" si="3"/>
        <v>0</v>
      </c>
      <c r="BI32" s="171">
        <f t="shared" si="34"/>
        <v>1236084.01355</v>
      </c>
      <c r="BJ32" s="171">
        <f t="shared" si="4"/>
        <v>1239970.6203399999</v>
      </c>
      <c r="BK32" s="171">
        <f t="shared" si="5"/>
        <v>1236084.01355</v>
      </c>
      <c r="BL32" s="171">
        <f t="shared" si="35"/>
        <v>99.686556542046603</v>
      </c>
      <c r="BM32" s="170">
        <v>537048.05593000003</v>
      </c>
      <c r="BN32" s="170">
        <v>0</v>
      </c>
      <c r="BO32" s="170">
        <v>0</v>
      </c>
      <c r="BP32" s="170">
        <v>0</v>
      </c>
      <c r="BQ32" s="171">
        <f t="shared" si="36"/>
        <v>537048.05593000003</v>
      </c>
      <c r="BR32" s="171">
        <f t="shared" si="6"/>
        <v>537048.05593000003</v>
      </c>
      <c r="BS32" s="170">
        <v>539243.92784000002</v>
      </c>
      <c r="BT32" s="170">
        <v>0</v>
      </c>
      <c r="BU32" s="170">
        <v>0</v>
      </c>
      <c r="BV32" s="170">
        <v>0</v>
      </c>
      <c r="BW32" s="171">
        <f t="shared" si="37"/>
        <v>539243.92784000002</v>
      </c>
      <c r="BX32" s="171">
        <f t="shared" si="7"/>
        <v>539243.92784000002</v>
      </c>
      <c r="BY32" s="171">
        <v>14056.95182</v>
      </c>
      <c r="BZ32" s="173">
        <v>9656</v>
      </c>
      <c r="CA32" s="171">
        <f t="shared" si="38"/>
        <v>9656</v>
      </c>
      <c r="CB32" s="173">
        <v>10745.68073</v>
      </c>
      <c r="CC32" s="171">
        <f t="shared" si="38"/>
        <v>10745.68073</v>
      </c>
      <c r="CD32" s="171">
        <f t="shared" si="8"/>
        <v>111.28501170256835</v>
      </c>
      <c r="CE32" s="171">
        <f t="shared" si="39"/>
        <v>-23.55611040288818</v>
      </c>
      <c r="CF32" s="173">
        <v>0</v>
      </c>
      <c r="CG32" s="171">
        <f t="shared" si="40"/>
        <v>0</v>
      </c>
      <c r="CH32" s="269">
        <v>0</v>
      </c>
      <c r="CI32" s="171">
        <f t="shared" si="41"/>
        <v>0</v>
      </c>
      <c r="CJ32" s="171" t="e">
        <f t="shared" si="9"/>
        <v>#DIV/0!</v>
      </c>
      <c r="CK32" s="173">
        <v>10275</v>
      </c>
      <c r="CL32" s="171">
        <f t="shared" si="42"/>
        <v>10275</v>
      </c>
      <c r="CM32" s="173">
        <v>17996.979210000001</v>
      </c>
      <c r="CN32" s="171">
        <f t="shared" si="43"/>
        <v>17996.979210000001</v>
      </c>
      <c r="CO32" s="173">
        <v>10627.02908</v>
      </c>
      <c r="CP32" s="171">
        <f t="shared" si="44"/>
        <v>10627.02908</v>
      </c>
      <c r="CQ32" s="171">
        <f t="shared" si="10"/>
        <v>103.42607377128954</v>
      </c>
      <c r="CR32" s="171">
        <f t="shared" si="45"/>
        <v>-7369.9501300000011</v>
      </c>
      <c r="CS32" s="171">
        <f t="shared" si="46"/>
        <v>-40.951039860650035</v>
      </c>
      <c r="CT32" s="171">
        <v>50928.414770000003</v>
      </c>
      <c r="CU32" s="173">
        <v>39302</v>
      </c>
      <c r="CV32" s="171">
        <f t="shared" si="47"/>
        <v>39302</v>
      </c>
      <c r="CW32" s="173">
        <v>41660.86176</v>
      </c>
      <c r="CX32" s="171">
        <f t="shared" ref="CX32" si="138">(CW32)</f>
        <v>41660.86176</v>
      </c>
      <c r="CY32" s="171">
        <f t="shared" si="11"/>
        <v>106.00188733397792</v>
      </c>
      <c r="CZ32" s="171">
        <f t="shared" si="49"/>
        <v>-18.197214760863062</v>
      </c>
      <c r="DA32" s="171">
        <v>247931.47818999999</v>
      </c>
      <c r="DB32" s="171">
        <v>933.23710000000005</v>
      </c>
      <c r="DC32" s="173">
        <v>258944.60347</v>
      </c>
      <c r="DD32" s="171">
        <f t="shared" si="50"/>
        <v>258944.60347</v>
      </c>
      <c r="DE32" s="173">
        <v>96.5869</v>
      </c>
      <c r="DF32" s="171">
        <f t="shared" si="51"/>
        <v>96.5869</v>
      </c>
      <c r="DG32" s="171">
        <f t="shared" si="12"/>
        <v>11013.125280000007</v>
      </c>
      <c r="DH32" s="171">
        <f t="shared" si="13"/>
        <v>-836.65020000000004</v>
      </c>
      <c r="DJ32" s="174">
        <v>0</v>
      </c>
      <c r="DK32" s="171">
        <f t="shared" si="52"/>
        <v>0</v>
      </c>
      <c r="DL32" s="170">
        <v>1238731.93065</v>
      </c>
      <c r="DM32" s="170">
        <v>0</v>
      </c>
      <c r="DN32" s="170">
        <v>0</v>
      </c>
      <c r="DO32" s="170">
        <v>0</v>
      </c>
      <c r="DP32" s="171">
        <f t="shared" si="53"/>
        <v>1238731.93065</v>
      </c>
      <c r="DQ32" s="170">
        <v>1234769.9963799999</v>
      </c>
      <c r="DR32" s="170">
        <v>0</v>
      </c>
      <c r="DS32" s="170">
        <v>0</v>
      </c>
      <c r="DT32" s="170">
        <v>0</v>
      </c>
      <c r="DU32" s="171">
        <f t="shared" si="54"/>
        <v>1234769.9963799999</v>
      </c>
      <c r="DV32" s="174">
        <f t="shared" si="14"/>
        <v>1238731.93065</v>
      </c>
      <c r="DW32" s="174">
        <f t="shared" si="15"/>
        <v>1234769.9963799999</v>
      </c>
      <c r="DX32" s="171">
        <f t="shared" si="55"/>
        <v>99.680162093834042</v>
      </c>
      <c r="DY32" s="170">
        <v>431500</v>
      </c>
      <c r="DZ32" s="171">
        <f t="shared" si="56"/>
        <v>431500</v>
      </c>
      <c r="EA32" s="317">
        <v>36.5</v>
      </c>
      <c r="EB32" s="171">
        <f t="shared" si="57"/>
        <v>1182191.7808219178</v>
      </c>
      <c r="EC32" s="171">
        <f t="shared" si="133"/>
        <v>431500</v>
      </c>
      <c r="ED32" s="171">
        <f t="shared" si="59"/>
        <v>0</v>
      </c>
      <c r="EE32" s="170">
        <v>436022.77208000002</v>
      </c>
      <c r="EF32" s="171">
        <f t="shared" si="60"/>
        <v>436022.77208000002</v>
      </c>
      <c r="EG32" s="171">
        <f t="shared" si="61"/>
        <v>1194582.9372054795</v>
      </c>
      <c r="EH32" s="171">
        <f t="shared" si="134"/>
        <v>436022.77208000002</v>
      </c>
      <c r="EI32" s="171">
        <f t="shared" si="63"/>
        <v>0</v>
      </c>
      <c r="EJ32" s="173">
        <v>13781.199360000001</v>
      </c>
      <c r="EK32" s="171">
        <f t="shared" si="64"/>
        <v>13781.199360000001</v>
      </c>
      <c r="EL32" s="171">
        <v>9500</v>
      </c>
      <c r="EM32" s="171">
        <v>10613.574570000001</v>
      </c>
      <c r="EN32" s="171">
        <f t="shared" si="16"/>
        <v>-3167.6247899999998</v>
      </c>
      <c r="EO32" s="171">
        <f t="shared" si="65"/>
        <v>-22.985116949937208</v>
      </c>
      <c r="EV32" s="173">
        <v>0</v>
      </c>
      <c r="EW32" s="171">
        <f t="shared" si="66"/>
        <v>0</v>
      </c>
      <c r="EX32" s="313">
        <v>0</v>
      </c>
      <c r="EY32" s="171">
        <v>0</v>
      </c>
      <c r="EZ32" s="171">
        <f t="shared" si="17"/>
        <v>0</v>
      </c>
      <c r="FA32" s="171" t="e">
        <f t="shared" si="67"/>
        <v>#DIV/0!</v>
      </c>
      <c r="FB32" s="173">
        <v>275.75245999999999</v>
      </c>
      <c r="FC32" s="171">
        <f t="shared" si="68"/>
        <v>275.75245999999999</v>
      </c>
      <c r="FD32" s="171">
        <v>156</v>
      </c>
      <c r="FE32" s="171">
        <v>132.10615999999999</v>
      </c>
      <c r="FF32" s="171">
        <f t="shared" si="69"/>
        <v>-143.6463</v>
      </c>
      <c r="FG32" s="171">
        <f t="shared" si="70"/>
        <v>-52.092481786019249</v>
      </c>
      <c r="FH32" s="171">
        <v>86342.44579999987</v>
      </c>
      <c r="FI32" s="171">
        <v>72100.28585</v>
      </c>
      <c r="FJ32" s="171">
        <v>215043.42531999969</v>
      </c>
      <c r="FK32" s="171">
        <v>19440.289840000001</v>
      </c>
      <c r="FL32" s="171">
        <f t="shared" si="71"/>
        <v>128700.97951999982</v>
      </c>
      <c r="FM32" s="171">
        <f t="shared" si="72"/>
        <v>-52659.996010000003</v>
      </c>
      <c r="FN32" s="171">
        <v>769.96618000000001</v>
      </c>
      <c r="FO32" s="171">
        <v>769.96618000000001</v>
      </c>
      <c r="FP32" s="171">
        <v>1109.1785500000001</v>
      </c>
      <c r="FQ32" s="171">
        <v>1109.1785500000001</v>
      </c>
      <c r="FR32" s="171">
        <f t="shared" si="73"/>
        <v>339.21237000000008</v>
      </c>
      <c r="FS32" s="171">
        <f t="shared" si="74"/>
        <v>339.21237000000008</v>
      </c>
      <c r="FT32" s="171">
        <v>3590.0984400000002</v>
      </c>
      <c r="FU32" s="171">
        <v>733.22766999999999</v>
      </c>
      <c r="FV32" s="171">
        <v>31343.519319999999</v>
      </c>
      <c r="FW32" s="171">
        <v>733.28965000000005</v>
      </c>
      <c r="FX32" s="171">
        <f t="shared" si="75"/>
        <v>27753.420879999998</v>
      </c>
      <c r="FY32" s="171">
        <f t="shared" si="76"/>
        <v>6.1980000000062319E-2</v>
      </c>
      <c r="FZ32" s="171">
        <v>10500.75009</v>
      </c>
      <c r="GA32" s="171">
        <v>10500.75009</v>
      </c>
      <c r="GB32" s="171">
        <v>9024.6727499999997</v>
      </c>
      <c r="GC32" s="171">
        <v>9024.6727499999997</v>
      </c>
      <c r="GD32" s="171">
        <f t="shared" si="77"/>
        <v>-1476.0773399999998</v>
      </c>
      <c r="GE32" s="171">
        <f t="shared" si="78"/>
        <v>-1476.0773399999998</v>
      </c>
      <c r="GJ32" s="171">
        <f t="shared" si="79"/>
        <v>0</v>
      </c>
      <c r="GK32" s="171">
        <f t="shared" si="80"/>
        <v>0</v>
      </c>
      <c r="GL32" s="171">
        <v>10534.31264</v>
      </c>
      <c r="GM32" s="171">
        <v>8724.7391800000005</v>
      </c>
      <c r="GN32" s="171">
        <v>10032.77651</v>
      </c>
      <c r="GO32" s="171">
        <v>8329.4691800000001</v>
      </c>
      <c r="GP32" s="171">
        <f t="shared" si="81"/>
        <v>-501.53613000000041</v>
      </c>
      <c r="GQ32" s="171">
        <f t="shared" si="82"/>
        <v>-395.27000000000044</v>
      </c>
      <c r="GV32" s="171">
        <f t="shared" si="83"/>
        <v>0</v>
      </c>
      <c r="GW32" s="171">
        <f t="shared" si="84"/>
        <v>0</v>
      </c>
      <c r="HB32" s="171">
        <f t="shared" si="85"/>
        <v>0</v>
      </c>
      <c r="HC32" s="171">
        <f t="shared" si="86"/>
        <v>0</v>
      </c>
      <c r="HH32" s="171">
        <f t="shared" si="87"/>
        <v>0</v>
      </c>
      <c r="HI32" s="171">
        <f t="shared" si="88"/>
        <v>0</v>
      </c>
      <c r="HN32" s="171">
        <f t="shared" si="89"/>
        <v>0</v>
      </c>
      <c r="HO32" s="171">
        <f t="shared" si="90"/>
        <v>0</v>
      </c>
      <c r="HP32" s="171">
        <v>2790.6131999999998</v>
      </c>
      <c r="HQ32" s="171">
        <v>131.8502</v>
      </c>
      <c r="HR32" s="171">
        <v>2474.4814500000002</v>
      </c>
      <c r="HS32" s="171">
        <v>123.70162999999999</v>
      </c>
      <c r="HT32" s="171">
        <f t="shared" si="91"/>
        <v>-316.13174999999956</v>
      </c>
      <c r="HU32" s="171">
        <f t="shared" si="92"/>
        <v>-8.1485700000000065</v>
      </c>
      <c r="HV32" s="171">
        <v>8.8775300000000001</v>
      </c>
      <c r="HW32" s="171">
        <v>8.8775300000000001</v>
      </c>
      <c r="HX32" s="171">
        <v>8.8775300000000001</v>
      </c>
      <c r="HY32" s="171">
        <v>8.8775300000000001</v>
      </c>
      <c r="HZ32" s="171">
        <f t="shared" si="93"/>
        <v>0</v>
      </c>
      <c r="IA32" s="171">
        <f t="shared" si="94"/>
        <v>0</v>
      </c>
      <c r="IB32" s="171">
        <v>0</v>
      </c>
      <c r="IC32" s="171">
        <v>0</v>
      </c>
      <c r="ID32" s="171">
        <v>0</v>
      </c>
      <c r="IE32" s="171">
        <v>0</v>
      </c>
      <c r="IF32" s="171">
        <f t="shared" si="95"/>
        <v>0</v>
      </c>
      <c r="IG32" s="171">
        <f t="shared" si="96"/>
        <v>0</v>
      </c>
      <c r="IH32" s="171">
        <v>51070.843500000003</v>
      </c>
      <c r="II32" s="171">
        <v>51070.843500000003</v>
      </c>
      <c r="IJ32" s="171">
        <v>0</v>
      </c>
      <c r="IK32" s="171">
        <v>0</v>
      </c>
      <c r="IL32" s="171">
        <f t="shared" si="97"/>
        <v>-51070.843500000003</v>
      </c>
      <c r="IM32" s="171">
        <f t="shared" si="98"/>
        <v>-51070.843500000003</v>
      </c>
      <c r="IN32" s="171">
        <v>3716.0261700000001</v>
      </c>
      <c r="IO32" s="171">
        <v>0</v>
      </c>
      <c r="IP32" s="171">
        <v>156295.16557000001</v>
      </c>
      <c r="IQ32" s="171">
        <v>2.8969999999999999E-2</v>
      </c>
      <c r="IR32" s="171">
        <f t="shared" si="99"/>
        <v>152579.13940000001</v>
      </c>
      <c r="IS32" s="171">
        <f t="shared" si="100"/>
        <v>2.8969999999999999E-2</v>
      </c>
      <c r="IT32" s="171">
        <v>24833.539430000001</v>
      </c>
      <c r="IU32" s="171">
        <v>0</v>
      </c>
      <c r="IV32" s="171">
        <v>15933.168439999999</v>
      </c>
      <c r="IW32" s="171">
        <v>0</v>
      </c>
      <c r="IX32" s="171">
        <f t="shared" si="101"/>
        <v>-8900.3709900000013</v>
      </c>
      <c r="IY32" s="171">
        <f t="shared" si="102"/>
        <v>0</v>
      </c>
      <c r="JB32" s="171">
        <f t="shared" si="103"/>
        <v>0</v>
      </c>
      <c r="JE32" s="171">
        <f t="shared" si="104"/>
        <v>0</v>
      </c>
      <c r="JF32" s="171">
        <v>0</v>
      </c>
      <c r="JG32" s="171">
        <v>0</v>
      </c>
      <c r="JH32" s="171">
        <f t="shared" si="105"/>
        <v>0</v>
      </c>
      <c r="JI32" s="171">
        <v>0</v>
      </c>
      <c r="JJ32" s="171">
        <v>0</v>
      </c>
      <c r="JK32" s="171">
        <f t="shared" si="106"/>
        <v>0</v>
      </c>
      <c r="JL32" s="171">
        <v>0</v>
      </c>
      <c r="JM32" s="171">
        <v>0</v>
      </c>
      <c r="JN32" s="171">
        <f t="shared" si="107"/>
        <v>0</v>
      </c>
      <c r="JO32" s="171">
        <v>0</v>
      </c>
      <c r="JP32" s="171">
        <v>0</v>
      </c>
      <c r="JQ32" s="171">
        <f t="shared" si="108"/>
        <v>0</v>
      </c>
      <c r="JR32" s="171">
        <v>0</v>
      </c>
      <c r="JS32" s="171">
        <v>0</v>
      </c>
      <c r="JT32" s="171">
        <f t="shared" si="109"/>
        <v>0</v>
      </c>
      <c r="JU32" s="171">
        <v>0</v>
      </c>
      <c r="JV32" s="171">
        <v>0</v>
      </c>
      <c r="JW32" s="171">
        <f t="shared" si="110"/>
        <v>0</v>
      </c>
      <c r="JX32" s="171">
        <v>0</v>
      </c>
      <c r="JY32" s="171">
        <v>0</v>
      </c>
      <c r="JZ32" s="171">
        <f t="shared" si="111"/>
        <v>0</v>
      </c>
      <c r="KA32" s="171">
        <v>13120.29628</v>
      </c>
      <c r="KC32" s="171">
        <v>4926.6867599999996</v>
      </c>
      <c r="KE32" s="171">
        <f t="shared" si="112"/>
        <v>-8193.6095200000018</v>
      </c>
      <c r="KF32" s="171">
        <f t="shared" si="113"/>
        <v>0</v>
      </c>
    </row>
    <row r="33" spans="1:295" s="171" customFormat="1" x14ac:dyDescent="0.25">
      <c r="A33" s="169" t="s">
        <v>177</v>
      </c>
      <c r="B33" s="170">
        <v>111250.65872000001</v>
      </c>
      <c r="C33" s="170">
        <v>0</v>
      </c>
      <c r="D33" s="170">
        <v>0</v>
      </c>
      <c r="E33" s="170">
        <v>0</v>
      </c>
      <c r="F33" s="171">
        <f t="shared" si="19"/>
        <v>111250.65872000001</v>
      </c>
      <c r="G33" s="170">
        <v>115885.03624</v>
      </c>
      <c r="H33" s="170">
        <v>0</v>
      </c>
      <c r="I33" s="170">
        <v>0</v>
      </c>
      <c r="J33" s="170">
        <v>0</v>
      </c>
      <c r="K33" s="171">
        <f t="shared" si="20"/>
        <v>115885.03624</v>
      </c>
      <c r="L33" s="170">
        <v>0</v>
      </c>
      <c r="M33" s="170">
        <v>0</v>
      </c>
      <c r="N33" s="170">
        <v>0</v>
      </c>
      <c r="O33" s="171">
        <f t="shared" si="21"/>
        <v>0</v>
      </c>
      <c r="P33" s="170">
        <v>0</v>
      </c>
      <c r="Q33" s="170">
        <v>0</v>
      </c>
      <c r="R33" s="170">
        <v>0</v>
      </c>
      <c r="S33" s="171">
        <f t="shared" si="22"/>
        <v>0</v>
      </c>
      <c r="T33" s="170">
        <v>111710.46617</v>
      </c>
      <c r="U33" s="170">
        <v>0</v>
      </c>
      <c r="V33" s="170">
        <v>0</v>
      </c>
      <c r="W33" s="170">
        <v>0</v>
      </c>
      <c r="X33" s="171">
        <f t="shared" si="23"/>
        <v>111710.46617</v>
      </c>
      <c r="Y33" s="170">
        <v>111250.76415</v>
      </c>
      <c r="Z33" s="170">
        <v>0</v>
      </c>
      <c r="AA33" s="170">
        <v>0</v>
      </c>
      <c r="AB33" s="170">
        <v>0</v>
      </c>
      <c r="AC33" s="171">
        <f t="shared" si="24"/>
        <v>111250.76415</v>
      </c>
      <c r="AD33" s="171">
        <f t="shared" si="25"/>
        <v>111250.65872000001</v>
      </c>
      <c r="AE33" s="171">
        <f t="shared" si="0"/>
        <v>115885.03624</v>
      </c>
      <c r="AF33" s="171">
        <f t="shared" si="26"/>
        <v>104.16570793676286</v>
      </c>
      <c r="AG33" s="172">
        <v>111251</v>
      </c>
      <c r="AH33" s="172">
        <f t="shared" si="27"/>
        <v>0.34127999999327585</v>
      </c>
      <c r="AI33" s="172">
        <v>115885</v>
      </c>
      <c r="AJ33" s="172">
        <f t="shared" si="28"/>
        <v>-3.6240000001271255E-2</v>
      </c>
      <c r="AK33" s="171">
        <f t="shared" si="1"/>
        <v>111710.46617</v>
      </c>
      <c r="AL33" s="171">
        <f t="shared" si="2"/>
        <v>111250.76415</v>
      </c>
      <c r="AM33" s="171">
        <f t="shared" si="29"/>
        <v>99.588487958415271</v>
      </c>
      <c r="AN33" s="173">
        <v>-459.80745000000002</v>
      </c>
      <c r="AO33" s="173">
        <v>0</v>
      </c>
      <c r="AP33" s="173">
        <v>0</v>
      </c>
      <c r="AQ33" s="173">
        <v>0</v>
      </c>
      <c r="AR33" s="171">
        <f t="shared" si="30"/>
        <v>-459.80745000000002</v>
      </c>
      <c r="AS33" s="173">
        <v>4634.2720900000004</v>
      </c>
      <c r="AT33" s="173">
        <v>0</v>
      </c>
      <c r="AU33" s="173">
        <v>0</v>
      </c>
      <c r="AV33" s="173">
        <v>0</v>
      </c>
      <c r="AW33" s="171">
        <f t="shared" si="31"/>
        <v>4634.2720900000004</v>
      </c>
      <c r="AX33" s="170">
        <v>8982.2000000000007</v>
      </c>
      <c r="AY33" s="170">
        <v>0</v>
      </c>
      <c r="AZ33" s="170">
        <v>0</v>
      </c>
      <c r="BA33" s="170">
        <v>0</v>
      </c>
      <c r="BB33" s="312">
        <f t="shared" si="32"/>
        <v>0</v>
      </c>
      <c r="BC33" s="171">
        <f t="shared" si="33"/>
        <v>8982.2000000000007</v>
      </c>
      <c r="BD33" s="170">
        <v>8632.3919499999993</v>
      </c>
      <c r="BE33" s="170">
        <v>0</v>
      </c>
      <c r="BF33" s="170">
        <v>0</v>
      </c>
      <c r="BG33" s="170">
        <v>0</v>
      </c>
      <c r="BH33" s="312">
        <f t="shared" si="3"/>
        <v>0</v>
      </c>
      <c r="BI33" s="171">
        <f t="shared" si="34"/>
        <v>8632.3919499999993</v>
      </c>
      <c r="BJ33" s="171">
        <f t="shared" si="4"/>
        <v>8982.2000000000007</v>
      </c>
      <c r="BK33" s="171">
        <f t="shared" si="5"/>
        <v>8632.3919499999993</v>
      </c>
      <c r="BL33" s="171">
        <f t="shared" si="35"/>
        <v>96.105541515441644</v>
      </c>
      <c r="BM33" s="170">
        <v>102268.45872</v>
      </c>
      <c r="BN33" s="170">
        <v>0</v>
      </c>
      <c r="BO33" s="170">
        <v>0</v>
      </c>
      <c r="BP33" s="170">
        <v>0</v>
      </c>
      <c r="BQ33" s="171">
        <f t="shared" si="36"/>
        <v>102268.45872</v>
      </c>
      <c r="BR33" s="171">
        <f t="shared" si="6"/>
        <v>102268.45872</v>
      </c>
      <c r="BS33" s="170">
        <v>107252.64429</v>
      </c>
      <c r="BT33" s="170">
        <v>0</v>
      </c>
      <c r="BU33" s="170">
        <v>0</v>
      </c>
      <c r="BV33" s="170">
        <v>0</v>
      </c>
      <c r="BW33" s="171">
        <f t="shared" si="37"/>
        <v>107252.64429</v>
      </c>
      <c r="BX33" s="171">
        <f t="shared" si="7"/>
        <v>107252.64429</v>
      </c>
      <c r="BY33" s="171">
        <v>75.542000000000002</v>
      </c>
      <c r="BZ33" s="173">
        <v>63.866999999999997</v>
      </c>
      <c r="CA33" s="171">
        <f t="shared" si="38"/>
        <v>63.866999999999997</v>
      </c>
      <c r="CB33" s="173">
        <v>63.866999999999997</v>
      </c>
      <c r="CC33" s="171">
        <f t="shared" si="38"/>
        <v>63.866999999999997</v>
      </c>
      <c r="CD33" s="171">
        <f t="shared" si="8"/>
        <v>100</v>
      </c>
      <c r="CE33" s="171">
        <f t="shared" si="39"/>
        <v>-15.454978687352735</v>
      </c>
      <c r="CF33" s="173">
        <v>0</v>
      </c>
      <c r="CG33" s="171">
        <f t="shared" si="40"/>
        <v>0</v>
      </c>
      <c r="CH33" s="269">
        <v>0</v>
      </c>
      <c r="CI33" s="171">
        <f t="shared" si="41"/>
        <v>0</v>
      </c>
      <c r="CK33" s="173">
        <v>86.7</v>
      </c>
      <c r="CL33" s="171">
        <f t="shared" si="42"/>
        <v>86.7</v>
      </c>
      <c r="CM33" s="173">
        <v>86.7</v>
      </c>
      <c r="CN33" s="171">
        <f t="shared" si="43"/>
        <v>86.7</v>
      </c>
      <c r="CO33" s="173">
        <v>86.7</v>
      </c>
      <c r="CP33" s="171">
        <f t="shared" si="44"/>
        <v>86.7</v>
      </c>
      <c r="CQ33" s="171">
        <f t="shared" si="10"/>
        <v>100</v>
      </c>
      <c r="CR33" s="171">
        <f t="shared" si="45"/>
        <v>0</v>
      </c>
      <c r="CS33" s="171">
        <f t="shared" si="46"/>
        <v>0</v>
      </c>
      <c r="CT33" s="171">
        <v>243.09495000000001</v>
      </c>
      <c r="CU33" s="173">
        <v>71.23321</v>
      </c>
      <c r="CV33" s="171">
        <f t="shared" si="47"/>
        <v>71.23321</v>
      </c>
      <c r="CW33" s="173">
        <v>71.23321</v>
      </c>
      <c r="CX33" s="171">
        <f t="shared" ref="CX33" si="139">(CW33)</f>
        <v>71.23321</v>
      </c>
      <c r="CY33" s="171">
        <f t="shared" si="11"/>
        <v>100</v>
      </c>
      <c r="CZ33" s="171">
        <f t="shared" si="49"/>
        <v>-70.697371541449129</v>
      </c>
      <c r="DA33" s="171">
        <v>8850.4648899999993</v>
      </c>
      <c r="DB33" s="171">
        <v>0</v>
      </c>
      <c r="DC33" s="173">
        <v>13484.73698</v>
      </c>
      <c r="DD33" s="171">
        <f t="shared" si="50"/>
        <v>13484.73698</v>
      </c>
      <c r="DE33" s="173">
        <v>0</v>
      </c>
      <c r="DF33" s="171">
        <f t="shared" si="51"/>
        <v>0</v>
      </c>
      <c r="DG33" s="171">
        <f t="shared" si="12"/>
        <v>4634.2720900000004</v>
      </c>
      <c r="DH33" s="171">
        <f t="shared" si="13"/>
        <v>0</v>
      </c>
      <c r="DJ33" s="174">
        <v>0</v>
      </c>
      <c r="DK33" s="171">
        <f t="shared" si="52"/>
        <v>0</v>
      </c>
      <c r="DL33" s="170">
        <v>8982.2000000000007</v>
      </c>
      <c r="DM33" s="170">
        <v>0</v>
      </c>
      <c r="DN33" s="170">
        <v>0</v>
      </c>
      <c r="DO33" s="170">
        <v>0</v>
      </c>
      <c r="DP33" s="171">
        <f t="shared" si="53"/>
        <v>8982.2000000000007</v>
      </c>
      <c r="DQ33" s="170">
        <v>8632.3919499999993</v>
      </c>
      <c r="DR33" s="170">
        <v>0</v>
      </c>
      <c r="DS33" s="170">
        <v>0</v>
      </c>
      <c r="DT33" s="170">
        <v>0</v>
      </c>
      <c r="DU33" s="171">
        <f t="shared" si="54"/>
        <v>8632.3919499999993</v>
      </c>
      <c r="DV33" s="174">
        <f t="shared" si="14"/>
        <v>8982.2000000000007</v>
      </c>
      <c r="DW33" s="174">
        <f t="shared" si="15"/>
        <v>8632.3919499999993</v>
      </c>
      <c r="DX33" s="171">
        <f t="shared" si="55"/>
        <v>96.105541515441644</v>
      </c>
      <c r="DY33" s="170">
        <v>102010</v>
      </c>
      <c r="DZ33" s="171">
        <f t="shared" si="56"/>
        <v>102010</v>
      </c>
      <c r="EA33" s="317">
        <v>36.5</v>
      </c>
      <c r="EB33" s="171">
        <f t="shared" si="57"/>
        <v>279479.45205479453</v>
      </c>
      <c r="EC33" s="171">
        <f t="shared" si="133"/>
        <v>102010</v>
      </c>
      <c r="ED33" s="171">
        <f t="shared" si="59"/>
        <v>0</v>
      </c>
      <c r="EE33" s="170">
        <v>106993.60343</v>
      </c>
      <c r="EF33" s="171">
        <f t="shared" si="60"/>
        <v>106993.60343</v>
      </c>
      <c r="EG33" s="171">
        <f t="shared" si="61"/>
        <v>293133.16008219181</v>
      </c>
      <c r="EH33" s="171">
        <f t="shared" si="134"/>
        <v>106993.60343</v>
      </c>
      <c r="EI33" s="171">
        <f t="shared" si="63"/>
        <v>0</v>
      </c>
      <c r="EJ33" s="173">
        <v>75.542000000000002</v>
      </c>
      <c r="EK33" s="171">
        <f t="shared" si="64"/>
        <v>75.542000000000002</v>
      </c>
      <c r="EL33" s="171">
        <v>63.866999999999997</v>
      </c>
      <c r="EM33" s="171">
        <v>63.866999999999997</v>
      </c>
      <c r="EN33" s="171">
        <f t="shared" si="16"/>
        <v>-11.675000000000004</v>
      </c>
      <c r="EO33" s="171">
        <f t="shared" si="65"/>
        <v>-15.454978687352735</v>
      </c>
      <c r="EV33" s="173">
        <v>0</v>
      </c>
      <c r="EW33" s="171">
        <f t="shared" si="66"/>
        <v>0</v>
      </c>
      <c r="EX33" s="313">
        <v>0</v>
      </c>
      <c r="EY33" s="171">
        <v>0</v>
      </c>
      <c r="EZ33" s="171">
        <f t="shared" si="17"/>
        <v>0</v>
      </c>
      <c r="FA33" s="171" t="e">
        <f t="shared" si="67"/>
        <v>#DIV/0!</v>
      </c>
      <c r="FB33" s="173">
        <v>0</v>
      </c>
      <c r="FC33" s="171">
        <f t="shared" si="68"/>
        <v>0</v>
      </c>
      <c r="FD33" s="171">
        <v>0</v>
      </c>
      <c r="FE33" s="171">
        <v>0</v>
      </c>
      <c r="FF33" s="171">
        <f t="shared" si="69"/>
        <v>0</v>
      </c>
      <c r="FG33" s="171" t="e">
        <f t="shared" si="70"/>
        <v>#DIV/0!</v>
      </c>
      <c r="FH33" s="171">
        <v>5782.5013399999989</v>
      </c>
      <c r="FI33" s="171">
        <v>0</v>
      </c>
      <c r="FJ33" s="171">
        <v>5623.996189999998</v>
      </c>
      <c r="FK33" s="171">
        <v>0</v>
      </c>
      <c r="FL33" s="171">
        <f t="shared" si="71"/>
        <v>-158.50515000000087</v>
      </c>
      <c r="FM33" s="171">
        <f t="shared" si="72"/>
        <v>0</v>
      </c>
      <c r="FN33" s="171">
        <v>0</v>
      </c>
      <c r="FO33" s="171">
        <v>0</v>
      </c>
      <c r="FP33" s="171">
        <v>0</v>
      </c>
      <c r="FQ33" s="171">
        <v>0</v>
      </c>
      <c r="FR33" s="171">
        <f t="shared" si="73"/>
        <v>0</v>
      </c>
      <c r="FS33" s="171">
        <f t="shared" si="74"/>
        <v>0</v>
      </c>
      <c r="FT33" s="171">
        <v>0</v>
      </c>
      <c r="FU33" s="171">
        <v>0</v>
      </c>
      <c r="FV33" s="171">
        <v>0</v>
      </c>
      <c r="FW33" s="171">
        <v>0</v>
      </c>
      <c r="FX33" s="171">
        <f t="shared" si="75"/>
        <v>0</v>
      </c>
      <c r="FY33" s="171">
        <f t="shared" si="76"/>
        <v>0</v>
      </c>
      <c r="FZ33" s="171">
        <v>0</v>
      </c>
      <c r="GA33" s="171">
        <v>0</v>
      </c>
      <c r="GB33" s="171">
        <v>0</v>
      </c>
      <c r="GC33" s="171">
        <v>0</v>
      </c>
      <c r="GD33" s="171">
        <f t="shared" si="77"/>
        <v>0</v>
      </c>
      <c r="GE33" s="171">
        <f t="shared" si="78"/>
        <v>0</v>
      </c>
      <c r="GJ33" s="171">
        <f t="shared" si="79"/>
        <v>0</v>
      </c>
      <c r="GK33" s="171">
        <f t="shared" si="80"/>
        <v>0</v>
      </c>
      <c r="GL33" s="171">
        <v>0</v>
      </c>
      <c r="GM33" s="171">
        <v>0</v>
      </c>
      <c r="GN33" s="171">
        <v>0</v>
      </c>
      <c r="GO33" s="171">
        <v>0</v>
      </c>
      <c r="GP33" s="171">
        <f t="shared" si="81"/>
        <v>0</v>
      </c>
      <c r="GQ33" s="171">
        <f t="shared" si="82"/>
        <v>0</v>
      </c>
      <c r="GV33" s="171">
        <f t="shared" si="83"/>
        <v>0</v>
      </c>
      <c r="GW33" s="171">
        <f t="shared" si="84"/>
        <v>0</v>
      </c>
      <c r="HB33" s="171">
        <f t="shared" si="85"/>
        <v>0</v>
      </c>
      <c r="HC33" s="171">
        <f t="shared" si="86"/>
        <v>0</v>
      </c>
      <c r="HH33" s="171">
        <f t="shared" si="87"/>
        <v>0</v>
      </c>
      <c r="HI33" s="171">
        <f t="shared" si="88"/>
        <v>0</v>
      </c>
      <c r="HN33" s="171">
        <f t="shared" si="89"/>
        <v>0</v>
      </c>
      <c r="HO33" s="171">
        <f t="shared" si="90"/>
        <v>0</v>
      </c>
      <c r="HP33" s="171">
        <v>0</v>
      </c>
      <c r="HQ33" s="171">
        <v>0</v>
      </c>
      <c r="HR33" s="171">
        <v>0</v>
      </c>
      <c r="HS33" s="171">
        <v>0</v>
      </c>
      <c r="HT33" s="171">
        <f t="shared" si="91"/>
        <v>0</v>
      </c>
      <c r="HU33" s="171">
        <f t="shared" si="92"/>
        <v>0</v>
      </c>
      <c r="HV33" s="171">
        <v>0</v>
      </c>
      <c r="HW33" s="171">
        <v>0</v>
      </c>
      <c r="HX33" s="171">
        <v>0</v>
      </c>
      <c r="HY33" s="171">
        <v>0</v>
      </c>
      <c r="HZ33" s="171">
        <f t="shared" si="93"/>
        <v>0</v>
      </c>
      <c r="IA33" s="171">
        <f t="shared" si="94"/>
        <v>0</v>
      </c>
      <c r="IB33" s="171">
        <v>0</v>
      </c>
      <c r="IC33" s="171">
        <v>0</v>
      </c>
      <c r="ID33" s="171">
        <v>0</v>
      </c>
      <c r="IE33" s="171">
        <v>0</v>
      </c>
      <c r="IF33" s="171">
        <f t="shared" si="95"/>
        <v>0</v>
      </c>
      <c r="IG33" s="171">
        <f t="shared" si="96"/>
        <v>0</v>
      </c>
      <c r="IH33" s="171">
        <v>5392.17</v>
      </c>
      <c r="II33" s="171">
        <v>0</v>
      </c>
      <c r="IJ33" s="171">
        <v>5392.17</v>
      </c>
      <c r="IK33" s="171">
        <v>0</v>
      </c>
      <c r="IL33" s="171">
        <f t="shared" si="97"/>
        <v>0</v>
      </c>
      <c r="IM33" s="171">
        <f t="shared" si="98"/>
        <v>0</v>
      </c>
      <c r="IN33" s="171">
        <v>0</v>
      </c>
      <c r="IO33" s="171">
        <v>0</v>
      </c>
      <c r="IP33" s="171">
        <v>0</v>
      </c>
      <c r="IQ33" s="171">
        <v>0</v>
      </c>
      <c r="IR33" s="171">
        <f t="shared" si="99"/>
        <v>0</v>
      </c>
      <c r="IS33" s="171">
        <f t="shared" si="100"/>
        <v>0</v>
      </c>
      <c r="IT33" s="171">
        <v>1481.2471499999999</v>
      </c>
      <c r="IU33" s="171">
        <v>0</v>
      </c>
      <c r="IV33" s="171">
        <v>962.84614999999997</v>
      </c>
      <c r="IW33" s="171">
        <v>0</v>
      </c>
      <c r="IX33" s="171">
        <f t="shared" si="101"/>
        <v>-518.40099999999995</v>
      </c>
      <c r="IY33" s="171">
        <f t="shared" si="102"/>
        <v>0</v>
      </c>
      <c r="JB33" s="171">
        <f t="shared" si="103"/>
        <v>0</v>
      </c>
      <c r="JE33" s="171">
        <f t="shared" si="104"/>
        <v>0</v>
      </c>
      <c r="JF33" s="171">
        <v>0</v>
      </c>
      <c r="JG33" s="171">
        <v>0</v>
      </c>
      <c r="JH33" s="171">
        <f t="shared" si="105"/>
        <v>0</v>
      </c>
      <c r="JI33" s="171">
        <v>0</v>
      </c>
      <c r="JJ33" s="171">
        <v>0</v>
      </c>
      <c r="JK33" s="171">
        <f t="shared" si="106"/>
        <v>0</v>
      </c>
      <c r="JL33" s="171">
        <v>0</v>
      </c>
      <c r="JM33" s="171">
        <v>0</v>
      </c>
      <c r="JN33" s="171">
        <f t="shared" si="107"/>
        <v>0</v>
      </c>
      <c r="JO33" s="171">
        <v>0</v>
      </c>
      <c r="JP33" s="171">
        <v>0</v>
      </c>
      <c r="JQ33" s="171">
        <f t="shared" si="108"/>
        <v>0</v>
      </c>
      <c r="JR33" s="171">
        <v>0</v>
      </c>
      <c r="JS33" s="171">
        <v>0</v>
      </c>
      <c r="JT33" s="171">
        <f t="shared" si="109"/>
        <v>0</v>
      </c>
      <c r="JU33" s="171">
        <v>0</v>
      </c>
      <c r="JV33" s="171">
        <v>0</v>
      </c>
      <c r="JW33" s="171">
        <f t="shared" si="110"/>
        <v>0</v>
      </c>
      <c r="JX33" s="171">
        <v>0</v>
      </c>
      <c r="JY33" s="171">
        <v>0</v>
      </c>
      <c r="JZ33" s="171">
        <f t="shared" si="111"/>
        <v>0</v>
      </c>
      <c r="KA33" s="171">
        <v>86.696150000000003</v>
      </c>
      <c r="KC33" s="171">
        <v>86.705150000000003</v>
      </c>
      <c r="KE33" s="171">
        <f t="shared" si="112"/>
        <v>9.0000000000003411E-3</v>
      </c>
      <c r="KF33" s="171">
        <f t="shared" si="113"/>
        <v>0</v>
      </c>
    </row>
    <row r="34" spans="1:295" s="167" customFormat="1" x14ac:dyDescent="0.25">
      <c r="A34" s="166" t="s">
        <v>178</v>
      </c>
      <c r="F34" s="167">
        <f>SUM(F8:F33)</f>
        <v>50324895.199610002</v>
      </c>
      <c r="K34" s="167">
        <f>SUM(K8:K33)</f>
        <v>51860608.089139998</v>
      </c>
      <c r="L34" s="167">
        <f t="shared" ref="L34:N34" si="140">SUM(L8:L33)</f>
        <v>2248424.15197</v>
      </c>
      <c r="M34" s="167">
        <f t="shared" si="140"/>
        <v>106543.79955</v>
      </c>
      <c r="N34" s="167">
        <f t="shared" si="140"/>
        <v>74707.986449999997</v>
      </c>
      <c r="O34" s="167">
        <f>SUM(O8:O33)</f>
        <v>2429675.9379700003</v>
      </c>
      <c r="P34" s="167">
        <f t="shared" ref="P34:R34" si="141">SUM(P8:P33)</f>
        <v>2187623.8544800007</v>
      </c>
      <c r="Q34" s="167">
        <f t="shared" si="141"/>
        <v>104237.44295</v>
      </c>
      <c r="R34" s="167">
        <f t="shared" si="141"/>
        <v>74666.724050000004</v>
      </c>
      <c r="S34" s="167">
        <f>SUM(S8:S33)</f>
        <v>2366528.0214799996</v>
      </c>
      <c r="T34" s="401">
        <f>SUM(T8:T33)</f>
        <v>30216308.702210002</v>
      </c>
      <c r="U34" s="401">
        <f t="shared" ref="U34:W34" si="142">SUM(U8:U33)</f>
        <v>21467526.944419999</v>
      </c>
      <c r="V34" s="401">
        <f t="shared" si="142"/>
        <v>1993509.6263599999</v>
      </c>
      <c r="W34" s="401">
        <f t="shared" si="142"/>
        <v>1493725.0965300002</v>
      </c>
      <c r="X34" s="167">
        <f>SUM(X8:X33)</f>
        <v>55171070.369520009</v>
      </c>
      <c r="Y34" s="401"/>
      <c r="Z34" s="401"/>
      <c r="AA34" s="401"/>
      <c r="AB34" s="401"/>
      <c r="AC34" s="167">
        <f>SUM(AC8:AC33)</f>
        <v>52194972.474709995</v>
      </c>
      <c r="AD34" s="167">
        <f>SUM(AD8:AD33)</f>
        <v>47895219.261640005</v>
      </c>
      <c r="AE34" s="167">
        <f>SUM(AE8:AE33)</f>
        <v>49494080.067659996</v>
      </c>
      <c r="AF34" s="167">
        <f t="shared" si="26"/>
        <v>103.33824717929737</v>
      </c>
      <c r="AG34" s="205">
        <f>SUM(AG8:AG33)</f>
        <v>47904217</v>
      </c>
      <c r="AH34" s="205">
        <f t="shared" ref="AH34:AJ34" si="143">SUM(AH8:AH33)</f>
        <v>8997.738359998446</v>
      </c>
      <c r="AI34" s="205">
        <f>SUM(AI8:AI33)</f>
        <v>49494080</v>
      </c>
      <c r="AJ34" s="205">
        <f t="shared" si="143"/>
        <v>-6.7659999956958927E-2</v>
      </c>
      <c r="AK34" s="167">
        <f>SUM(AK8:AK33)</f>
        <v>52741394.431549996</v>
      </c>
      <c r="AL34" s="167">
        <f>SUM(AL8:AL33)</f>
        <v>49828444.453230001</v>
      </c>
      <c r="AM34" s="167">
        <f t="shared" si="29"/>
        <v>94.476918917833046</v>
      </c>
      <c r="AN34" s="167">
        <f>SUM(AN8:AN33)</f>
        <v>-1324990.78834</v>
      </c>
      <c r="AO34" s="167">
        <f t="shared" ref="AO34:AW34" si="144">SUM(AO8:AO33)</f>
        <v>-622777.01485999988</v>
      </c>
      <c r="AP34" s="167">
        <f t="shared" si="144"/>
        <v>-117517.65815</v>
      </c>
      <c r="AQ34" s="167">
        <f t="shared" si="144"/>
        <v>-58211.84145</v>
      </c>
      <c r="AR34" s="167">
        <f t="shared" si="144"/>
        <v>-2123497.3028000002</v>
      </c>
      <c r="AS34" s="167">
        <v>0</v>
      </c>
      <c r="AT34" s="167">
        <v>0</v>
      </c>
      <c r="AU34" s="167">
        <v>0</v>
      </c>
      <c r="AV34" s="167">
        <v>0</v>
      </c>
      <c r="AW34" s="167">
        <f t="shared" si="144"/>
        <v>-334364.38557000004</v>
      </c>
      <c r="AX34" s="401"/>
      <c r="AY34" s="401"/>
      <c r="AZ34" s="401"/>
      <c r="BA34" s="401"/>
      <c r="BB34" s="167">
        <f>SUM(BB8:BB33)</f>
        <v>749.09560000001875</v>
      </c>
      <c r="BC34" s="167">
        <f>SUM(BC8:BC33)</f>
        <v>35505074.105769999</v>
      </c>
      <c r="BH34" s="167">
        <f>SUM(BH8:BH33)</f>
        <v>0</v>
      </c>
      <c r="BI34" s="167">
        <f>SUM(BI8:BI33)</f>
        <v>36567313.766199999</v>
      </c>
      <c r="BJ34" s="167">
        <f>SUM(BJ8:BJ33)</f>
        <v>33075398.167799998</v>
      </c>
      <c r="BK34" s="167">
        <f>SUM(BK8:BK33)</f>
        <v>34200785.744719997</v>
      </c>
      <c r="BL34" s="167">
        <f t="shared" si="35"/>
        <v>103.40249139620518</v>
      </c>
      <c r="BM34" s="401"/>
      <c r="BN34" s="401"/>
      <c r="BO34" s="401"/>
      <c r="BP34" s="401"/>
      <c r="BQ34" s="167">
        <f>SUM(BQ8:BQ33)</f>
        <v>14778784.665200001</v>
      </c>
      <c r="BR34" s="167">
        <f>SUM(BR8:BR33)</f>
        <v>14778784.665200001</v>
      </c>
      <c r="BS34" s="401"/>
      <c r="BT34" s="401"/>
      <c r="BU34" s="401"/>
      <c r="BV34" s="401"/>
      <c r="BW34" s="167">
        <f>SUM(BW8:BW33)</f>
        <v>15251789.56091</v>
      </c>
      <c r="BX34" s="167">
        <f>SUM(BX8:BX33)</f>
        <v>15251789.56091</v>
      </c>
      <c r="BY34" s="167">
        <f>SUM(BY8:BY33)</f>
        <v>1123219.73101</v>
      </c>
      <c r="BZ34" s="167">
        <f t="shared" ref="BZ34:CB34" si="145">SUM(BZ8:BZ33)</f>
        <v>918845.40670000005</v>
      </c>
      <c r="CA34" s="167">
        <f>SUM(CA8:CA33)</f>
        <v>918845.40670000005</v>
      </c>
      <c r="CB34" s="167">
        <f t="shared" si="145"/>
        <v>881147.46005999995</v>
      </c>
      <c r="CC34" s="167">
        <f>SUM(CC8:CC33)</f>
        <v>881147.46005999995</v>
      </c>
      <c r="CD34" s="167">
        <f>CC34/CA34%</f>
        <v>95.897248180693325</v>
      </c>
      <c r="CE34" s="167">
        <f t="shared" si="39"/>
        <v>-21.551639832068162</v>
      </c>
      <c r="CF34" s="167">
        <f t="shared" ref="CF34:CH34" si="146">SUM(CF8:CF33)</f>
        <v>309894.90559000004</v>
      </c>
      <c r="CG34" s="167">
        <f>SUM(CG8:CG33)</f>
        <v>309894.90559000004</v>
      </c>
      <c r="CH34" s="167">
        <f t="shared" si="146"/>
        <v>343175.54449</v>
      </c>
      <c r="CI34" s="167">
        <f>SUM(CI8:CI33)</f>
        <v>343175.54449</v>
      </c>
      <c r="CJ34" s="167">
        <f>CI34/CG34%</f>
        <v>110.73933075364305</v>
      </c>
      <c r="CK34" s="167">
        <f t="shared" ref="CK34" si="147">SUM(CK8:CK33)</f>
        <v>933255.49387999985</v>
      </c>
      <c r="CL34" s="167">
        <f>SUM(CL8:CL33)</f>
        <v>933255.49387999985</v>
      </c>
      <c r="CM34" s="167">
        <f t="shared" ref="CM34:CN34" si="148">SUM(CM8:CM33)</f>
        <v>1144597.1749100001</v>
      </c>
      <c r="CN34" s="167">
        <f t="shared" si="148"/>
        <v>1144597.1749100001</v>
      </c>
      <c r="CO34" s="167">
        <f t="shared" ref="CO34" si="149">SUM(CO8:CO33)</f>
        <v>908683.03370999999</v>
      </c>
      <c r="CP34" s="167">
        <f>SUM(CP8:CP33)</f>
        <v>908683.03370999999</v>
      </c>
      <c r="CQ34" s="167">
        <f>CP34/CL34%</f>
        <v>97.367016821102212</v>
      </c>
      <c r="CR34" s="167">
        <f t="shared" ref="CR34:CU34" si="150">SUM(CR8:CR33)</f>
        <v>-235914.14119999995</v>
      </c>
      <c r="CS34" s="167">
        <f t="shared" si="46"/>
        <v>-20.61110636749126</v>
      </c>
      <c r="CT34" s="167">
        <f t="shared" si="150"/>
        <v>1511665.5675000001</v>
      </c>
      <c r="CU34" s="167">
        <f t="shared" si="150"/>
        <v>1165697.4073199998</v>
      </c>
      <c r="CV34" s="167">
        <f>SUM(CV8:CV33)</f>
        <v>1165697.4073199998</v>
      </c>
      <c r="CX34" s="167">
        <f>SUM(CX8:CX33)</f>
        <v>1235905.13384</v>
      </c>
      <c r="CY34" s="167">
        <f>CX34/CV34%</f>
        <v>106.02280884208292</v>
      </c>
      <c r="CZ34" s="167">
        <f t="shared" ref="CZ34" si="151">CX34/CT34%-100</f>
        <v>-18.242158820621555</v>
      </c>
      <c r="DA34" s="167">
        <f t="shared" ref="DA34:DW34" si="152">SUM(DA8:DA33)</f>
        <v>1760661.52205</v>
      </c>
      <c r="DB34" s="167">
        <f t="shared" si="152"/>
        <v>120745.86225999999</v>
      </c>
      <c r="DC34" s="167">
        <f t="shared" si="152"/>
        <v>1943452.4428000001</v>
      </c>
      <c r="DD34" s="167">
        <f t="shared" si="152"/>
        <v>1943452.4428000001</v>
      </c>
      <c r="DE34" s="167">
        <f t="shared" si="152"/>
        <v>102265.40939000002</v>
      </c>
      <c r="DF34" s="167">
        <f t="shared" si="152"/>
        <v>102265.40939000002</v>
      </c>
      <c r="DG34" s="167">
        <f t="shared" si="152"/>
        <v>182790.92074999999</v>
      </c>
      <c r="DH34" s="167">
        <f t="shared" si="152"/>
        <v>-18480.452869999994</v>
      </c>
      <c r="DI34" s="167">
        <f t="shared" ref="DI34:DJ34" si="153">SUM(DI8:DI33)</f>
        <v>4011354.8650000002</v>
      </c>
      <c r="DJ34" s="167">
        <f t="shared" si="153"/>
        <v>4357386.5649999995</v>
      </c>
      <c r="DK34" s="167">
        <f t="shared" si="152"/>
        <v>346031.7</v>
      </c>
      <c r="DP34" s="167">
        <f t="shared" si="152"/>
        <v>35546110.534410007</v>
      </c>
      <c r="DU34" s="167">
        <f t="shared" si="152"/>
        <v>36608818.528229997</v>
      </c>
      <c r="DV34" s="167">
        <f t="shared" si="152"/>
        <v>33116434.596439999</v>
      </c>
      <c r="DW34" s="167">
        <f t="shared" si="152"/>
        <v>34242290.506749995</v>
      </c>
      <c r="DX34" s="167">
        <f t="shared" si="55"/>
        <v>103.39968938090644</v>
      </c>
      <c r="DY34" s="167">
        <f t="shared" ref="DY34:EN34" si="154">SUM(DY8:DY33)</f>
        <v>10457189.41502</v>
      </c>
      <c r="DZ34" s="167">
        <f t="shared" si="154"/>
        <v>10457189.41502</v>
      </c>
      <c r="EB34" s="167">
        <f t="shared" si="154"/>
        <v>28936555.884941295</v>
      </c>
      <c r="EC34" s="167">
        <f t="shared" si="154"/>
        <v>10457189.41502</v>
      </c>
      <c r="ED34" s="167">
        <f t="shared" si="154"/>
        <v>0</v>
      </c>
      <c r="EE34" s="401"/>
      <c r="EF34" s="167">
        <f t="shared" si="154"/>
        <v>10818638.49137</v>
      </c>
      <c r="EG34" s="167">
        <f t="shared" si="154"/>
        <v>29933589.235449702</v>
      </c>
      <c r="EH34" s="167">
        <f t="shared" si="154"/>
        <v>10818638.49137</v>
      </c>
      <c r="EI34" s="167">
        <f t="shared" si="154"/>
        <v>0</v>
      </c>
      <c r="EJ34" s="167">
        <f t="shared" si="154"/>
        <v>935298.89896000002</v>
      </c>
      <c r="EK34" s="167">
        <f t="shared" si="154"/>
        <v>935298.89896000002</v>
      </c>
      <c r="EL34" s="167">
        <f t="shared" si="154"/>
        <v>734389.23523999995</v>
      </c>
      <c r="EM34" s="167">
        <f t="shared" si="154"/>
        <v>694832.43594999996</v>
      </c>
      <c r="EN34" s="167">
        <f t="shared" si="154"/>
        <v>-240466.46301000001</v>
      </c>
      <c r="EO34" s="167">
        <f t="shared" si="65"/>
        <v>-25.71011932948764</v>
      </c>
      <c r="EP34" s="167">
        <f t="shared" ref="EP34:EV34" si="155">SUM(EP8:EP33)</f>
        <v>0</v>
      </c>
      <c r="EQ34" s="167">
        <f t="shared" si="155"/>
        <v>0</v>
      </c>
      <c r="ER34" s="167">
        <f t="shared" si="155"/>
        <v>0</v>
      </c>
      <c r="ES34" s="167">
        <f t="shared" si="155"/>
        <v>0</v>
      </c>
      <c r="ET34" s="167">
        <f t="shared" si="155"/>
        <v>0</v>
      </c>
      <c r="EU34" s="167">
        <f t="shared" si="155"/>
        <v>0</v>
      </c>
      <c r="EV34" s="167">
        <f t="shared" si="155"/>
        <v>146460.83142999999</v>
      </c>
      <c r="EW34" s="167">
        <f t="shared" ref="EW34" si="156">SUM(EW8:EW33)</f>
        <v>146460.83142999999</v>
      </c>
      <c r="EX34" s="167">
        <f t="shared" ref="EX34:FF34" si="157">SUM(EX8:EX33)</f>
        <v>171413.01146000001</v>
      </c>
      <c r="EY34" s="167">
        <f t="shared" si="157"/>
        <v>173095.69354000001</v>
      </c>
      <c r="EZ34" s="167">
        <f t="shared" si="157"/>
        <v>26634.862110000013</v>
      </c>
      <c r="FA34" s="167">
        <f t="shared" si="67"/>
        <v>18.185655406940654</v>
      </c>
      <c r="FB34" s="167">
        <f t="shared" si="157"/>
        <v>41460.000619999999</v>
      </c>
      <c r="FC34" s="167">
        <f t="shared" si="157"/>
        <v>41460.000619999999</v>
      </c>
      <c r="FD34" s="167">
        <f t="shared" si="157"/>
        <v>13043.16</v>
      </c>
      <c r="FE34" s="167">
        <f t="shared" si="157"/>
        <v>13219.330569999996</v>
      </c>
      <c r="FF34" s="167">
        <f t="shared" si="157"/>
        <v>-28240.670049999997</v>
      </c>
      <c r="FG34" s="167">
        <f t="shared" si="70"/>
        <v>-68.115459786985411</v>
      </c>
      <c r="FH34" s="167">
        <f t="shared" ref="FH34:JJ34" si="158">SUM(FH8:FH33)</f>
        <v>5834766.6854800014</v>
      </c>
      <c r="FI34" s="167">
        <f t="shared" si="158"/>
        <v>2395429.9777000002</v>
      </c>
      <c r="FJ34" s="167">
        <f t="shared" si="158"/>
        <v>5213458.7993000001</v>
      </c>
      <c r="FK34" s="167">
        <f t="shared" si="158"/>
        <v>1126523.9726199999</v>
      </c>
      <c r="FL34" s="167">
        <f t="shared" si="158"/>
        <v>-621307.88618000224</v>
      </c>
      <c r="FM34" s="167">
        <f t="shared" si="158"/>
        <v>-1268906.00508</v>
      </c>
      <c r="FN34" s="167">
        <f t="shared" si="158"/>
        <v>476973.57873000001</v>
      </c>
      <c r="FO34" s="167">
        <f t="shared" si="158"/>
        <v>475522.93917000003</v>
      </c>
      <c r="FP34" s="167">
        <f t="shared" si="158"/>
        <v>251667.43781</v>
      </c>
      <c r="FQ34" s="167">
        <f t="shared" si="158"/>
        <v>244823.86921</v>
      </c>
      <c r="FR34" s="167">
        <f t="shared" si="158"/>
        <v>-225306.14092000001</v>
      </c>
      <c r="FS34" s="167">
        <f t="shared" si="158"/>
        <v>-230699.06996000002</v>
      </c>
      <c r="FT34" s="167">
        <f t="shared" si="158"/>
        <v>925830.17216999992</v>
      </c>
      <c r="FU34" s="167">
        <f t="shared" si="158"/>
        <v>281627.98257999995</v>
      </c>
      <c r="FV34" s="167">
        <f t="shared" si="158"/>
        <v>778006.42382999987</v>
      </c>
      <c r="FW34" s="167">
        <f t="shared" si="158"/>
        <v>233181.68261999998</v>
      </c>
      <c r="FX34" s="167">
        <f t="shared" si="158"/>
        <v>-147823.74834000002</v>
      </c>
      <c r="FY34" s="167">
        <f t="shared" si="158"/>
        <v>-48446.299960000011</v>
      </c>
      <c r="FZ34" s="167">
        <f t="shared" si="158"/>
        <v>1529137.84213</v>
      </c>
      <c r="GA34" s="167">
        <f t="shared" si="158"/>
        <v>295012.78469999996</v>
      </c>
      <c r="GB34" s="167">
        <f t="shared" si="158"/>
        <v>1610509.2613299997</v>
      </c>
      <c r="GC34" s="167">
        <f t="shared" si="158"/>
        <v>302598.14809000003</v>
      </c>
      <c r="GD34" s="167">
        <f t="shared" si="158"/>
        <v>81371.419199999989</v>
      </c>
      <c r="GE34" s="167">
        <f t="shared" si="158"/>
        <v>7585.3633900000023</v>
      </c>
      <c r="GF34" s="167">
        <f t="shared" si="158"/>
        <v>0</v>
      </c>
      <c r="GG34" s="167">
        <f t="shared" si="158"/>
        <v>0</v>
      </c>
      <c r="GH34" s="167">
        <f t="shared" si="158"/>
        <v>0</v>
      </c>
      <c r="GI34" s="167">
        <f t="shared" si="158"/>
        <v>0</v>
      </c>
      <c r="GJ34" s="167">
        <f t="shared" si="158"/>
        <v>0</v>
      </c>
      <c r="GK34" s="167">
        <f t="shared" si="158"/>
        <v>0</v>
      </c>
      <c r="GL34" s="167">
        <f t="shared" si="158"/>
        <v>205032.29528999998</v>
      </c>
      <c r="GM34" s="167">
        <f t="shared" si="158"/>
        <v>175067.73186</v>
      </c>
      <c r="GN34" s="167">
        <f t="shared" si="158"/>
        <v>226301.18523999996</v>
      </c>
      <c r="GO34" s="167">
        <f t="shared" si="158"/>
        <v>196660.58201000001</v>
      </c>
      <c r="GP34" s="167">
        <f t="shared" si="158"/>
        <v>21268.889950000008</v>
      </c>
      <c r="GQ34" s="167">
        <f t="shared" si="158"/>
        <v>21592.850149999991</v>
      </c>
      <c r="GR34" s="167">
        <f t="shared" si="158"/>
        <v>0</v>
      </c>
      <c r="GS34" s="167">
        <f t="shared" si="158"/>
        <v>0</v>
      </c>
      <c r="GT34" s="167">
        <f t="shared" si="158"/>
        <v>0</v>
      </c>
      <c r="GU34" s="167">
        <f t="shared" si="158"/>
        <v>0</v>
      </c>
      <c r="GV34" s="167">
        <f t="shared" si="158"/>
        <v>0</v>
      </c>
      <c r="GW34" s="167">
        <f t="shared" si="158"/>
        <v>0</v>
      </c>
      <c r="GX34" s="167">
        <f t="shared" si="158"/>
        <v>0</v>
      </c>
      <c r="GY34" s="167">
        <f t="shared" si="158"/>
        <v>0</v>
      </c>
      <c r="GZ34" s="167">
        <f t="shared" si="158"/>
        <v>0</v>
      </c>
      <c r="HA34" s="167">
        <f t="shared" si="158"/>
        <v>0</v>
      </c>
      <c r="HB34" s="167">
        <f t="shared" si="158"/>
        <v>0</v>
      </c>
      <c r="HC34" s="167">
        <f t="shared" si="158"/>
        <v>0</v>
      </c>
      <c r="HD34" s="167">
        <f t="shared" si="158"/>
        <v>0</v>
      </c>
      <c r="HE34" s="167">
        <f t="shared" si="158"/>
        <v>0</v>
      </c>
      <c r="HF34" s="167">
        <f t="shared" si="158"/>
        <v>0</v>
      </c>
      <c r="HG34" s="167">
        <f t="shared" ref="HG34" si="159">SUM(HG8:HG33)</f>
        <v>0</v>
      </c>
      <c r="HH34" s="167">
        <f t="shared" si="158"/>
        <v>0</v>
      </c>
      <c r="HI34" s="167">
        <f t="shared" si="158"/>
        <v>0</v>
      </c>
      <c r="HJ34" s="167">
        <f t="shared" si="158"/>
        <v>0</v>
      </c>
      <c r="HK34" s="167">
        <f t="shared" si="158"/>
        <v>0</v>
      </c>
      <c r="HL34" s="167">
        <f t="shared" si="158"/>
        <v>0</v>
      </c>
      <c r="HM34" s="167">
        <f t="shared" si="158"/>
        <v>0</v>
      </c>
      <c r="HN34" s="167">
        <f t="shared" si="158"/>
        <v>0</v>
      </c>
      <c r="HO34" s="167">
        <f t="shared" si="158"/>
        <v>0</v>
      </c>
      <c r="HP34" s="167">
        <f t="shared" si="158"/>
        <v>1215531.4039699999</v>
      </c>
      <c r="HQ34" s="167">
        <f t="shared" si="158"/>
        <v>911852.08225999994</v>
      </c>
      <c r="HR34" s="167">
        <f t="shared" si="158"/>
        <v>303022.42095000006</v>
      </c>
      <c r="HS34" s="167">
        <f t="shared" si="158"/>
        <v>20983.444029999995</v>
      </c>
      <c r="HT34" s="167">
        <f t="shared" si="158"/>
        <v>-912508.98302000004</v>
      </c>
      <c r="HU34" s="167">
        <f t="shared" si="158"/>
        <v>-890868.63823000004</v>
      </c>
      <c r="HV34" s="167">
        <f t="shared" si="158"/>
        <v>654929.85504000017</v>
      </c>
      <c r="HW34" s="167">
        <f t="shared" si="158"/>
        <v>4597.9601099999991</v>
      </c>
      <c r="HX34" s="167">
        <f t="shared" si="158"/>
        <v>520610.02926000004</v>
      </c>
      <c r="HY34" s="167">
        <f t="shared" si="158"/>
        <v>6221.4713200000006</v>
      </c>
      <c r="HZ34" s="167">
        <f t="shared" si="158"/>
        <v>-134319.82578000001</v>
      </c>
      <c r="IA34" s="167">
        <f t="shared" si="158"/>
        <v>1623.5112100000006</v>
      </c>
      <c r="IB34" s="167">
        <f t="shared" si="158"/>
        <v>34450.469989999998</v>
      </c>
      <c r="IC34" s="167">
        <f t="shared" si="158"/>
        <v>27918.23072</v>
      </c>
      <c r="ID34" s="167">
        <f t="shared" si="158"/>
        <v>254867.77622</v>
      </c>
      <c r="IE34" s="167">
        <f t="shared" si="158"/>
        <v>23370.617910000004</v>
      </c>
      <c r="IF34" s="167">
        <f t="shared" ref="IF34:IS34" si="160">SUM(IF8:IF33)</f>
        <v>220417.30622999999</v>
      </c>
      <c r="IG34" s="167">
        <f t="shared" si="160"/>
        <v>-4547.6128099999969</v>
      </c>
      <c r="IH34" s="167">
        <f t="shared" si="160"/>
        <v>167114.61828000002</v>
      </c>
      <c r="II34" s="167">
        <f t="shared" si="160"/>
        <v>51263.643500000006</v>
      </c>
      <c r="IJ34" s="167">
        <f t="shared" si="160"/>
        <v>459611.80537999998</v>
      </c>
      <c r="IK34" s="167">
        <f t="shared" si="160"/>
        <v>6554.9759999999997</v>
      </c>
      <c r="IL34" s="167">
        <f t="shared" si="160"/>
        <v>292497.18710000004</v>
      </c>
      <c r="IM34" s="167">
        <f t="shared" si="160"/>
        <v>-44708.667500000003</v>
      </c>
      <c r="IN34" s="167">
        <f t="shared" si="160"/>
        <v>155227.54991999999</v>
      </c>
      <c r="IO34" s="167">
        <f t="shared" si="160"/>
        <v>133987.00513000001</v>
      </c>
      <c r="IP34" s="167">
        <f t="shared" si="160"/>
        <v>364703.93677999999</v>
      </c>
      <c r="IQ34" s="167">
        <f t="shared" si="160"/>
        <v>51484.482640000002</v>
      </c>
      <c r="IR34" s="167">
        <f t="shared" si="160"/>
        <v>209476.38686</v>
      </c>
      <c r="IS34" s="167">
        <f t="shared" si="160"/>
        <v>-82502.522490000018</v>
      </c>
      <c r="IT34" s="167">
        <f t="shared" ref="IT34:JB34" si="161">SUM(IT8:IT33)</f>
        <v>978351.37100999977</v>
      </c>
      <c r="IU34" s="167">
        <f t="shared" si="161"/>
        <v>50975.98631</v>
      </c>
      <c r="IV34" s="167">
        <f t="shared" si="161"/>
        <v>867551.24508999998</v>
      </c>
      <c r="IW34" s="167">
        <f t="shared" si="161"/>
        <v>27769.170599999998</v>
      </c>
      <c r="IX34" s="167">
        <f t="shared" si="161"/>
        <v>-110800.12591999999</v>
      </c>
      <c r="IY34" s="167">
        <f t="shared" si="161"/>
        <v>-23206.815710000003</v>
      </c>
      <c r="IZ34" s="167">
        <f t="shared" si="161"/>
        <v>0</v>
      </c>
      <c r="JA34" s="167">
        <f t="shared" si="161"/>
        <v>0</v>
      </c>
      <c r="JB34" s="167">
        <f t="shared" si="161"/>
        <v>0</v>
      </c>
      <c r="JC34" s="167">
        <f t="shared" si="158"/>
        <v>0</v>
      </c>
      <c r="JD34" s="167">
        <f t="shared" si="158"/>
        <v>0</v>
      </c>
      <c r="JE34" s="167">
        <f t="shared" si="158"/>
        <v>0</v>
      </c>
      <c r="JF34" s="167">
        <f t="shared" si="158"/>
        <v>23408.906879999999</v>
      </c>
      <c r="JG34" s="167">
        <f t="shared" si="158"/>
        <v>9962.4067399999985</v>
      </c>
      <c r="JH34" s="167">
        <f t="shared" si="158"/>
        <v>-13446.500140000002</v>
      </c>
      <c r="JI34" s="167">
        <f t="shared" si="158"/>
        <v>388.73174</v>
      </c>
      <c r="JJ34" s="167">
        <f t="shared" si="158"/>
        <v>349.21649000000002</v>
      </c>
      <c r="JK34" s="167">
        <f t="shared" ref="JK34:KI34" si="162">SUM(JK8:JK33)</f>
        <v>-39.515250000000002</v>
      </c>
      <c r="JL34" s="167">
        <f t="shared" ref="JL34:JQ34" si="163">SUM(JL8:JL33)</f>
        <v>1180.44659</v>
      </c>
      <c r="JM34" s="167">
        <f t="shared" si="163"/>
        <v>882.55547999999999</v>
      </c>
      <c r="JN34" s="167">
        <f t="shared" si="163"/>
        <v>-297.89111000000003</v>
      </c>
      <c r="JO34" s="167">
        <f t="shared" si="163"/>
        <v>559.47597999999994</v>
      </c>
      <c r="JP34" s="167">
        <f t="shared" si="163"/>
        <v>802.94940999999994</v>
      </c>
      <c r="JQ34" s="167">
        <f t="shared" si="163"/>
        <v>243.47342999999995</v>
      </c>
      <c r="JR34" s="167">
        <f t="shared" si="162"/>
        <v>9128.4032499999994</v>
      </c>
      <c r="JS34" s="167">
        <f t="shared" si="162"/>
        <v>9033.5652699999991</v>
      </c>
      <c r="JT34" s="167">
        <f t="shared" si="162"/>
        <v>-94.837980000000357</v>
      </c>
      <c r="JU34" s="167">
        <f t="shared" si="162"/>
        <v>8574.5512599999984</v>
      </c>
      <c r="JV34" s="167">
        <f t="shared" si="162"/>
        <v>6010.4951600000004</v>
      </c>
      <c r="JW34" s="167">
        <f t="shared" ref="JW34" si="164">SUM(JW8:JW33)</f>
        <v>-2564.0560999999989</v>
      </c>
      <c r="JX34" s="167">
        <f t="shared" ref="JX34:JZ34" si="165">SUM(JX8:JX33)</f>
        <v>1169.5861399999999</v>
      </c>
      <c r="JY34" s="167">
        <f t="shared" si="165"/>
        <v>8.69862</v>
      </c>
      <c r="JZ34" s="167">
        <f t="shared" si="165"/>
        <v>-1160.88752</v>
      </c>
      <c r="KA34" s="167">
        <f t="shared" si="162"/>
        <v>678130.68524999986</v>
      </c>
      <c r="KB34" s="167">
        <f t="shared" si="162"/>
        <v>0</v>
      </c>
      <c r="KC34" s="167">
        <f t="shared" si="162"/>
        <v>404973.28731000004</v>
      </c>
      <c r="KD34" s="167">
        <f t="shared" si="162"/>
        <v>0</v>
      </c>
      <c r="KE34" s="167">
        <f t="shared" si="162"/>
        <v>-273157.39794</v>
      </c>
      <c r="KF34" s="167">
        <f t="shared" si="162"/>
        <v>0</v>
      </c>
      <c r="KG34" s="167">
        <f t="shared" si="162"/>
        <v>0</v>
      </c>
      <c r="KH34" s="167">
        <f t="shared" si="162"/>
        <v>0</v>
      </c>
      <c r="KI34" s="167">
        <f t="shared" si="162"/>
        <v>0</v>
      </c>
    </row>
    <row r="35" spans="1:295" x14ac:dyDescent="0.25">
      <c r="A35" s="168"/>
      <c r="B35" s="164"/>
      <c r="C35" s="164"/>
      <c r="D35" s="164"/>
      <c r="E35" s="164"/>
      <c r="F35" s="163"/>
      <c r="G35" s="164"/>
      <c r="H35" s="164"/>
      <c r="I35" s="164"/>
      <c r="J35" s="164"/>
      <c r="K35" s="163"/>
      <c r="L35" s="164"/>
      <c r="M35" s="164"/>
      <c r="N35" s="164"/>
      <c r="O35" s="163">
        <f>'1_Конс.'!E141/1000</f>
        <v>2429675.9379699999</v>
      </c>
      <c r="P35" s="164"/>
      <c r="Q35" s="164"/>
      <c r="R35" s="164"/>
      <c r="S35" s="163">
        <f>'1_Конс.'!L141/1000</f>
        <v>2366528.0214799996</v>
      </c>
      <c r="T35" s="164"/>
      <c r="U35" s="164"/>
      <c r="V35" s="164"/>
      <c r="W35" s="164"/>
      <c r="X35" s="163"/>
      <c r="Y35" s="164"/>
      <c r="Z35" s="164"/>
      <c r="AA35" s="164"/>
      <c r="AB35" s="164"/>
      <c r="AC35" s="163"/>
      <c r="AD35" s="163">
        <f>'1_Конс.'!R38*1000</f>
        <v>47895219.261639997</v>
      </c>
      <c r="AE35" s="163">
        <f>'1_Конс.'!X38*1000</f>
        <v>49494080.067660004</v>
      </c>
      <c r="AF35" s="163">
        <f t="shared" si="26"/>
        <v>103.33824717929741</v>
      </c>
      <c r="AG35" s="163"/>
      <c r="AH35" s="311">
        <f>'1_Конс.'!R48*1000</f>
        <v>749.09560000014608</v>
      </c>
      <c r="AI35" s="163"/>
      <c r="AJ35" s="311">
        <f>'1_Конс.'!X48*1000</f>
        <v>0</v>
      </c>
      <c r="AK35" s="163">
        <f>'1_Конс.'!R139*1000</f>
        <v>52741394.431549996</v>
      </c>
      <c r="AL35" s="163">
        <f>'1_Конс.'!X139*1000</f>
        <v>49828444.453230001</v>
      </c>
      <c r="AM35" s="163">
        <f t="shared" si="29"/>
        <v>94.476918917833046</v>
      </c>
      <c r="AN35" s="164"/>
      <c r="AO35" s="164"/>
      <c r="AP35" s="164"/>
      <c r="AQ35" s="164"/>
      <c r="AR35" s="163">
        <f>AR34-'1_Конс.'!E143/1000</f>
        <v>0</v>
      </c>
      <c r="AS35" s="164"/>
      <c r="AT35" s="164"/>
      <c r="AU35" s="164"/>
      <c r="AV35" s="164"/>
      <c r="AW35" s="163">
        <f>AW34-'1_Конс.'!L143/1000</f>
        <v>0</v>
      </c>
      <c r="AX35" s="164"/>
      <c r="AY35" s="164"/>
      <c r="AZ35" s="164"/>
      <c r="BA35" s="164"/>
      <c r="BB35" s="163"/>
      <c r="BC35" s="163">
        <f>('1_Конс.'!S31+'1_Конс.'!T31+'1_Конс.'!U31)*1000</f>
        <v>35505074.105769999</v>
      </c>
      <c r="BD35" s="164"/>
      <c r="BE35" s="164"/>
      <c r="BF35" s="164"/>
      <c r="BG35" s="164"/>
      <c r="BH35" s="163"/>
      <c r="BI35" s="163">
        <f>('1_Конс.'!Y31+'1_Конс.'!Z31+'1_Конс.'!AA31)*1000</f>
        <v>36567313.766199991</v>
      </c>
      <c r="BJ35" s="163">
        <f>'1_Конс.'!R31*1000</f>
        <v>33075398.167800006</v>
      </c>
      <c r="BK35" s="163">
        <f>'1_Конс.'!X31*1000</f>
        <v>34200785.744719997</v>
      </c>
      <c r="BL35" s="163">
        <f t="shared" si="35"/>
        <v>103.40249139620515</v>
      </c>
      <c r="BM35" s="164"/>
      <c r="BN35" s="164"/>
      <c r="BO35" s="164"/>
      <c r="BP35" s="164"/>
      <c r="BQ35" s="163">
        <f>'1_Конс.'!R11*1000</f>
        <v>14778784.665200001</v>
      </c>
      <c r="BR35" s="163"/>
      <c r="BS35" s="164"/>
      <c r="BT35" s="164"/>
      <c r="BU35" s="164"/>
      <c r="BV35" s="164"/>
      <c r="BW35" s="163">
        <f>'1_Конс.'!X11*1000</f>
        <v>15251789.560909998</v>
      </c>
      <c r="BX35" s="163"/>
      <c r="BY35" s="163">
        <f>'2_Конс_20 к 19'!D21*1000</f>
        <v>1123219.73101</v>
      </c>
      <c r="BZ35" s="164"/>
      <c r="CA35" s="163">
        <f>'1_Конс.'!R15*1000</f>
        <v>918845.40670000005</v>
      </c>
      <c r="CB35" s="164"/>
      <c r="CC35" s="163">
        <f>'1_Конс.'!X15*1000</f>
        <v>881147.46005999995</v>
      </c>
      <c r="CD35" s="163">
        <f>CC35/CA35%</f>
        <v>95.897248180693325</v>
      </c>
      <c r="CE35" s="163"/>
      <c r="CF35" s="164"/>
      <c r="CG35" s="163">
        <f>'1_Конс.'!R23*1000</f>
        <v>309894.90558999998</v>
      </c>
      <c r="CH35" s="164"/>
      <c r="CI35" s="163">
        <f>'1_Конс.'!X23*1000</f>
        <v>343175.54449</v>
      </c>
      <c r="CJ35" s="163">
        <f>CI35/CG35%</f>
        <v>110.73933075364307</v>
      </c>
      <c r="CK35" s="163"/>
      <c r="CL35" s="163">
        <f>'1_Конс.'!R16*1000</f>
        <v>933255.49388000008</v>
      </c>
      <c r="CM35" s="164"/>
      <c r="CN35" s="163">
        <f>'2_Конс_20 к 19'!D26*1000</f>
        <v>1144597.1749099998</v>
      </c>
      <c r="CO35" s="163"/>
      <c r="CP35" s="163">
        <f>'1_Конс.'!X16*1000</f>
        <v>908683.03370999999</v>
      </c>
      <c r="CQ35" s="163">
        <f>CP35/CL35%</f>
        <v>97.367016821102197</v>
      </c>
      <c r="CR35" s="163"/>
      <c r="CS35" s="163">
        <f t="shared" si="46"/>
        <v>-20.611106367491232</v>
      </c>
      <c r="CT35" s="163">
        <f>'2_Конс_20 к 19'!D35*1000</f>
        <v>1511665.5674999999</v>
      </c>
      <c r="CU35" s="163"/>
      <c r="CV35" s="163">
        <f>'1_Конс.'!R20*1000</f>
        <v>1165697.40732</v>
      </c>
      <c r="CW35" s="163"/>
      <c r="CX35" s="163">
        <f>'1_Конс.'!X20*1000</f>
        <v>1235905.13384</v>
      </c>
      <c r="CY35" s="163">
        <f>CX35/CV35%</f>
        <v>106.02280884208291</v>
      </c>
      <c r="CZ35" s="163"/>
      <c r="DA35" s="163">
        <f>'1_Конс.'!R171*1000</f>
        <v>1760661.5220500003</v>
      </c>
      <c r="DB35" s="163">
        <f>'1_Конс.'!R172*1000</f>
        <v>120745.86226000001</v>
      </c>
      <c r="DC35" s="164"/>
      <c r="DD35" s="163">
        <f>'1_Конс.'!X171*1000</f>
        <v>1943452.4428000001</v>
      </c>
      <c r="DE35" s="164"/>
      <c r="DF35" s="163">
        <f>'1_Конс.'!X172*1000</f>
        <v>102265.40939</v>
      </c>
      <c r="DG35" s="163"/>
      <c r="DH35" s="163"/>
      <c r="DI35" s="163">
        <f>'1_Конс.'!R177*1000</f>
        <v>4011354.8649999998</v>
      </c>
      <c r="DJ35" s="163">
        <f>'1_Конс.'!X177*1000</f>
        <v>4357386.5649999995</v>
      </c>
      <c r="DK35" s="163">
        <f>'1_Конс.'!AD177*1000</f>
        <v>346031.7</v>
      </c>
      <c r="DL35" s="164"/>
      <c r="DM35" s="164"/>
      <c r="DN35" s="164"/>
      <c r="DO35" s="164"/>
      <c r="DP35" s="163"/>
      <c r="DQ35" s="164"/>
      <c r="DR35" s="164"/>
      <c r="DS35" s="164"/>
      <c r="DT35" s="164"/>
      <c r="DU35" s="163"/>
      <c r="DV35" s="163">
        <f>'1_Конс.'!R29*1000</f>
        <v>33116434.596440006</v>
      </c>
      <c r="DW35" s="163">
        <f>'1_Конс.'!X29*1000</f>
        <v>34242290.506750003</v>
      </c>
      <c r="DX35" s="163">
        <f t="shared" si="55"/>
        <v>103.39968938090644</v>
      </c>
      <c r="DY35" s="164"/>
      <c r="DZ35" s="163">
        <f>'1_Конс.'!R13*1000</f>
        <v>10457189.415019998</v>
      </c>
      <c r="EA35" s="163"/>
      <c r="EB35" s="163"/>
      <c r="EC35" s="163"/>
      <c r="ED35" s="163"/>
      <c r="EE35" s="164"/>
      <c r="EF35" s="163">
        <f>'1_Конс.'!X13*1000</f>
        <v>10818638.49137</v>
      </c>
      <c r="EG35" s="163"/>
      <c r="EH35" s="163"/>
      <c r="EI35" s="163"/>
      <c r="EJ35" s="163">
        <f>'2_Конс_20 к 19'!D23*1000</f>
        <v>935298.89896000014</v>
      </c>
      <c r="EK35" s="163"/>
      <c r="EL35" s="163"/>
      <c r="EM35" s="163">
        <f>'2_Конс_20 к 19'!G23*1000</f>
        <v>694832.43595000007</v>
      </c>
      <c r="EN35" s="163"/>
      <c r="EO35" s="163"/>
      <c r="EP35" s="163"/>
      <c r="EQ35" s="163"/>
      <c r="ER35" s="163"/>
      <c r="ES35" s="163"/>
      <c r="ET35" s="163"/>
      <c r="EU35" s="163"/>
      <c r="EW35" s="314">
        <f>'2_Конс_20 к 19'!D24*1000</f>
        <v>146460.83143000002</v>
      </c>
      <c r="EX35" s="314"/>
      <c r="EY35" s="163">
        <f>'2_Конс_20 к 19'!G24*1000</f>
        <v>173095.69353999998</v>
      </c>
      <c r="EZ35" s="163"/>
      <c r="FA35" s="317"/>
      <c r="FB35" s="167"/>
      <c r="FC35" s="171">
        <f>FC34-'2_Конс_20 к 19'!D25*1000</f>
        <v>0</v>
      </c>
      <c r="FD35" s="317"/>
      <c r="FE35" s="317">
        <f>FE34-'2_Конс_20 к 19'!G25*1000</f>
        <v>0</v>
      </c>
      <c r="FF35" s="317"/>
      <c r="FG35" s="317" t="s">
        <v>465</v>
      </c>
      <c r="FH35" s="163">
        <v>90767607.616549999</v>
      </c>
      <c r="FI35" s="163">
        <v>1627734.07544</v>
      </c>
      <c r="FJ35" s="163">
        <v>123150945.74005</v>
      </c>
      <c r="FK35" s="163">
        <v>1027704.92203</v>
      </c>
      <c r="FL35" s="163">
        <f>FJ35-FH35</f>
        <v>32383338.123500004</v>
      </c>
      <c r="FM35" s="163">
        <f t="shared" ref="FM35" si="166">FK35-FI35</f>
        <v>-600029.15341000003</v>
      </c>
      <c r="FN35" s="163">
        <v>1511884.7745699999</v>
      </c>
      <c r="FO35" s="163">
        <v>1511884.7745699999</v>
      </c>
      <c r="FP35" s="163">
        <v>887376.17076000001</v>
      </c>
      <c r="FQ35" s="163">
        <v>876895.94165000005</v>
      </c>
      <c r="FR35" s="163">
        <f t="shared" ref="FR35" si="167">FP35-FN35</f>
        <v>-624508.60380999988</v>
      </c>
      <c r="FS35" s="163">
        <f t="shared" ref="FS35" si="168">FQ35-FO35</f>
        <v>-634988.83291999984</v>
      </c>
      <c r="FT35" s="163">
        <v>13311.75239</v>
      </c>
      <c r="FU35" s="163">
        <v>2892.3067799999999</v>
      </c>
      <c r="FV35" s="163">
        <v>10893.19758</v>
      </c>
      <c r="FW35" s="163">
        <v>2835.3201199999999</v>
      </c>
      <c r="FX35" s="163">
        <f t="shared" ref="FX35" si="169">FV35-FT35</f>
        <v>-2418.5548099999996</v>
      </c>
      <c r="FY35" s="163">
        <f t="shared" ref="FY35" si="170">FW35-FU35</f>
        <v>-56.986660000000029</v>
      </c>
      <c r="FZ35" s="163">
        <v>22837149.51306</v>
      </c>
      <c r="GA35" s="163">
        <v>45149.663950000002</v>
      </c>
      <c r="GB35" s="163">
        <v>25709635.46043</v>
      </c>
      <c r="GC35" s="163">
        <v>47273.49985</v>
      </c>
      <c r="GD35" s="163">
        <f t="shared" ref="GD35" si="171">GB35-FZ35</f>
        <v>2872485.9473700002</v>
      </c>
      <c r="GE35" s="163">
        <f t="shared" ref="GE35" si="172">GC35-GA35</f>
        <v>2123.8358999999982</v>
      </c>
      <c r="GJ35" s="163">
        <f t="shared" ref="GJ35" si="173">GH35-GF35</f>
        <v>0</v>
      </c>
      <c r="GK35" s="163">
        <f t="shared" ref="GK35" si="174">GI35-GG35</f>
        <v>0</v>
      </c>
      <c r="GL35" s="163">
        <v>3.124E-2</v>
      </c>
      <c r="GM35" s="163">
        <v>0</v>
      </c>
      <c r="GN35" s="163">
        <v>0</v>
      </c>
      <c r="GO35" s="163">
        <v>0</v>
      </c>
      <c r="GP35" s="163">
        <f t="shared" ref="GP35" si="175">GN35-GL35</f>
        <v>-3.124E-2</v>
      </c>
      <c r="GQ35" s="163">
        <f t="shared" ref="GQ35" si="176">GO35-GM35</f>
        <v>0</v>
      </c>
      <c r="GV35" s="163">
        <f t="shared" ref="GV35" si="177">GT35-GR35</f>
        <v>0</v>
      </c>
      <c r="GW35" s="163">
        <f t="shared" ref="GW35" si="178">GU35-GS35</f>
        <v>0</v>
      </c>
      <c r="HB35" s="171">
        <f t="shared" si="85"/>
        <v>0</v>
      </c>
      <c r="HC35" s="171">
        <f t="shared" si="86"/>
        <v>0</v>
      </c>
      <c r="HH35" s="163">
        <f t="shared" ref="HH35" si="179">HF35-HD35</f>
        <v>0</v>
      </c>
      <c r="HI35" s="163">
        <f t="shared" ref="HI35" si="180">HG35-HE35</f>
        <v>0</v>
      </c>
      <c r="HN35" s="163">
        <f t="shared" ref="HN35" si="181">HL35-HJ35</f>
        <v>0</v>
      </c>
      <c r="HO35" s="163">
        <f t="shared" ref="HO35" si="182">HM35-HK35</f>
        <v>0</v>
      </c>
      <c r="HP35" s="163">
        <v>5831.8160799999996</v>
      </c>
      <c r="HQ35" s="163">
        <v>119.98952</v>
      </c>
      <c r="HR35" s="163">
        <v>61619.174180000002</v>
      </c>
      <c r="HS35" s="163">
        <v>37297.124360000002</v>
      </c>
      <c r="HT35" s="163">
        <f t="shared" ref="HT35" si="183">HR35-HP35</f>
        <v>55787.358100000005</v>
      </c>
      <c r="HU35" s="163">
        <f t="shared" ref="HU35" si="184">HS35-HQ35</f>
        <v>37177.134839999999</v>
      </c>
      <c r="HV35" s="163">
        <v>0</v>
      </c>
      <c r="HW35" s="163">
        <v>0</v>
      </c>
      <c r="HX35" s="163">
        <v>0</v>
      </c>
      <c r="HY35" s="163">
        <v>0</v>
      </c>
      <c r="HZ35" s="163">
        <f t="shared" ref="HZ35" si="185">HX35-HV35</f>
        <v>0</v>
      </c>
      <c r="IA35" s="163">
        <f t="shared" ref="IA35" si="186">HY35-HW35</f>
        <v>0</v>
      </c>
      <c r="IB35" s="163">
        <v>128.11385000000001</v>
      </c>
      <c r="IC35" s="163">
        <v>8.1138499999999993</v>
      </c>
      <c r="ID35" s="163">
        <v>8.1138499999999993</v>
      </c>
      <c r="IE35" s="163">
        <v>8.1138499999999993</v>
      </c>
      <c r="IF35" s="163">
        <f t="shared" si="95"/>
        <v>-120.00000000000001</v>
      </c>
      <c r="IG35" s="163">
        <f t="shared" ref="IG35" si="187">IE35-IC35</f>
        <v>0</v>
      </c>
      <c r="IH35" s="163">
        <v>398718.32455000002</v>
      </c>
      <c r="II35" s="163">
        <v>0</v>
      </c>
      <c r="IJ35" s="163">
        <v>566235.13820000004</v>
      </c>
      <c r="IK35" s="163">
        <v>0</v>
      </c>
      <c r="IL35" s="163">
        <f>IJ35-IH35</f>
        <v>167516.81365000003</v>
      </c>
      <c r="IM35" s="163">
        <f>IK35-II35</f>
        <v>0</v>
      </c>
      <c r="IN35" s="163">
        <v>316088.60378</v>
      </c>
      <c r="IO35" s="163">
        <v>165.81634</v>
      </c>
      <c r="IP35" s="163">
        <v>273529.68826000002</v>
      </c>
      <c r="IQ35" s="163">
        <v>172.7972</v>
      </c>
      <c r="IR35" s="163">
        <f>IP35-IN35</f>
        <v>-42558.91551999998</v>
      </c>
      <c r="IS35" s="163">
        <f>IQ35-IO35</f>
        <v>6.9808600000000069</v>
      </c>
      <c r="IT35" s="163">
        <v>12512646.00419</v>
      </c>
      <c r="IU35" s="163">
        <v>0</v>
      </c>
      <c r="IV35" s="163">
        <v>18477543.46266</v>
      </c>
      <c r="IW35" s="163">
        <v>0.20200000000000001</v>
      </c>
      <c r="IX35" s="163">
        <f>IV35-IT35</f>
        <v>5964897.45847</v>
      </c>
      <c r="IY35" s="163">
        <f>IW35-IU35</f>
        <v>0.20200000000000001</v>
      </c>
      <c r="IZ35" s="163">
        <v>0</v>
      </c>
      <c r="JA35" s="163">
        <v>0</v>
      </c>
      <c r="JB35" s="163">
        <f t="shared" ref="JB35" si="188">JA35-IZ35</f>
        <v>0</v>
      </c>
      <c r="JE35" s="163">
        <f t="shared" si="104"/>
        <v>0</v>
      </c>
      <c r="JF35" s="163">
        <v>0</v>
      </c>
      <c r="JG35" s="163">
        <v>0</v>
      </c>
      <c r="JH35" s="163">
        <f t="shared" si="105"/>
        <v>0</v>
      </c>
      <c r="JI35" s="163">
        <v>0</v>
      </c>
      <c r="JJ35" s="163">
        <v>0</v>
      </c>
      <c r="JK35" s="163">
        <f t="shared" ref="JK35" si="189">JJ35-JI35</f>
        <v>0</v>
      </c>
      <c r="JL35" s="163">
        <v>0</v>
      </c>
      <c r="JM35" s="163">
        <v>0</v>
      </c>
      <c r="JN35" s="171">
        <f t="shared" ref="JN35" si="190">JM35-JL35</f>
        <v>0</v>
      </c>
      <c r="JO35" s="163">
        <v>0</v>
      </c>
      <c r="JP35" s="163">
        <v>0</v>
      </c>
      <c r="JQ35" s="171">
        <f t="shared" ref="JQ35" si="191">JP35-JO35</f>
        <v>0</v>
      </c>
      <c r="JR35" s="163">
        <v>0</v>
      </c>
      <c r="JS35" s="163">
        <v>0</v>
      </c>
      <c r="JT35" s="171">
        <f t="shared" si="109"/>
        <v>0</v>
      </c>
      <c r="JU35" s="171">
        <v>0</v>
      </c>
      <c r="JV35" s="171">
        <v>0</v>
      </c>
      <c r="JW35" s="171">
        <f t="shared" si="110"/>
        <v>0</v>
      </c>
      <c r="JX35" s="171">
        <v>0</v>
      </c>
      <c r="JY35" s="171">
        <v>0</v>
      </c>
      <c r="JZ35" s="171">
        <f t="shared" si="111"/>
        <v>0</v>
      </c>
      <c r="KA35" s="163">
        <v>2156360.1758500002</v>
      </c>
      <c r="KC35" s="163">
        <v>9788726.9371700007</v>
      </c>
      <c r="KE35" s="163">
        <f t="shared" si="112"/>
        <v>7632366.7613200005</v>
      </c>
      <c r="KF35" s="163">
        <f t="shared" si="113"/>
        <v>0</v>
      </c>
    </row>
    <row r="36" spans="1:295" x14ac:dyDescent="0.25">
      <c r="A36" s="168"/>
      <c r="B36" s="164"/>
      <c r="C36" s="164"/>
      <c r="D36" s="164"/>
      <c r="E36" s="164"/>
      <c r="F36" s="163"/>
      <c r="G36" s="164"/>
      <c r="H36" s="164"/>
      <c r="I36" s="164"/>
      <c r="J36" s="164"/>
      <c r="K36" s="163"/>
      <c r="L36" s="164"/>
      <c r="M36" s="164"/>
      <c r="N36" s="164"/>
      <c r="O36" s="163">
        <f>O35-O34</f>
        <v>0</v>
      </c>
      <c r="P36" s="163"/>
      <c r="Q36" s="163"/>
      <c r="R36" s="163"/>
      <c r="S36" s="163">
        <f>S35-S34</f>
        <v>0</v>
      </c>
      <c r="T36" s="164"/>
      <c r="U36" s="164"/>
      <c r="V36" s="164"/>
      <c r="W36" s="164"/>
      <c r="X36" s="163"/>
      <c r="Y36" s="164"/>
      <c r="Z36" s="164"/>
      <c r="AA36" s="164"/>
      <c r="AB36" s="164"/>
      <c r="AC36" s="163"/>
      <c r="AD36" s="163">
        <f>AD35-AD34</f>
        <v>0</v>
      </c>
      <c r="AE36" s="163">
        <f>AE35-AE34</f>
        <v>0</v>
      </c>
      <c r="AF36" s="163"/>
      <c r="AG36" s="163"/>
      <c r="AH36" s="163">
        <f>AH35-AH34</f>
        <v>-8248.6427599982999</v>
      </c>
      <c r="AI36" s="163"/>
      <c r="AJ36" s="163">
        <f>AJ35-AJ34</f>
        <v>6.7659999956958927E-2</v>
      </c>
      <c r="AK36" s="163">
        <f>AK35-AK34</f>
        <v>0</v>
      </c>
      <c r="AL36" s="163">
        <f>AL35-AL34</f>
        <v>0</v>
      </c>
      <c r="AM36" s="163"/>
      <c r="AN36" s="164"/>
      <c r="AO36" s="164"/>
      <c r="AP36" s="164"/>
      <c r="AQ36" s="164"/>
      <c r="AR36" s="163"/>
      <c r="AS36" s="164"/>
      <c r="AT36" s="164"/>
      <c r="AU36" s="164"/>
      <c r="AV36" s="164"/>
      <c r="AW36" s="163"/>
      <c r="AX36" s="164"/>
      <c r="AY36" s="164"/>
      <c r="AZ36" s="164"/>
      <c r="BA36" s="164"/>
      <c r="BB36" s="163"/>
      <c r="BC36" s="163">
        <f>BC35-BC34</f>
        <v>0</v>
      </c>
      <c r="BD36" s="164"/>
      <c r="BE36" s="164"/>
      <c r="BF36" s="164"/>
      <c r="BG36" s="164"/>
      <c r="BH36" s="163"/>
      <c r="BI36" s="163">
        <f>BI35-BI34</f>
        <v>0</v>
      </c>
      <c r="BJ36" s="163">
        <f>BJ35-BJ34</f>
        <v>0</v>
      </c>
      <c r="BK36" s="163">
        <f>BK35-BK34</f>
        <v>0</v>
      </c>
      <c r="BL36" s="163"/>
      <c r="BM36" s="164"/>
      <c r="BN36" s="164"/>
      <c r="BO36" s="164"/>
      <c r="BP36" s="164"/>
      <c r="BQ36" s="163">
        <f>BQ35-BQ34</f>
        <v>0</v>
      </c>
      <c r="BR36" s="163"/>
      <c r="BS36" s="163"/>
      <c r="BT36" s="163"/>
      <c r="BU36" s="163"/>
      <c r="BV36" s="163"/>
      <c r="BW36" s="163">
        <f t="shared" ref="BW36:CC36" si="192">BW35-BW34</f>
        <v>0</v>
      </c>
      <c r="BX36" s="163"/>
      <c r="BY36" s="163">
        <f t="shared" si="192"/>
        <v>0</v>
      </c>
      <c r="BZ36" s="163"/>
      <c r="CA36" s="163">
        <f t="shared" si="192"/>
        <v>0</v>
      </c>
      <c r="CB36" s="163"/>
      <c r="CC36" s="163">
        <f t="shared" si="192"/>
        <v>0</v>
      </c>
      <c r="CD36" s="163"/>
      <c r="CE36" s="163"/>
      <c r="CF36" s="164"/>
      <c r="CG36" s="163">
        <f>CG35-CG34</f>
        <v>0</v>
      </c>
      <c r="CH36" s="164"/>
      <c r="CI36" s="163">
        <f>CI35-CI34</f>
        <v>0</v>
      </c>
      <c r="CJ36" s="163"/>
      <c r="CK36" s="163"/>
      <c r="CL36" s="163">
        <f>CL35-CL34</f>
        <v>0</v>
      </c>
      <c r="CM36" s="164"/>
      <c r="CN36" s="163">
        <f>CN35-CN34</f>
        <v>0</v>
      </c>
      <c r="CO36" s="163"/>
      <c r="CP36" s="163">
        <f>CP35-CP34</f>
        <v>0</v>
      </c>
      <c r="CQ36" s="163"/>
      <c r="CR36" s="163"/>
      <c r="CS36" s="163"/>
      <c r="CT36" s="163">
        <f>CT35-CT34</f>
        <v>0</v>
      </c>
      <c r="CU36" s="163"/>
      <c r="CV36" s="163">
        <f>CV35-CV34</f>
        <v>0</v>
      </c>
      <c r="CW36" s="163"/>
      <c r="CX36" s="163">
        <f>CX35-CX34</f>
        <v>0</v>
      </c>
      <c r="CY36" s="163"/>
      <c r="CZ36" s="163"/>
      <c r="DA36" s="163">
        <f>DA35-DA34</f>
        <v>0</v>
      </c>
      <c r="DB36" s="163">
        <f>DB35-DB34</f>
        <v>0</v>
      </c>
      <c r="DC36" s="164"/>
      <c r="DD36" s="163">
        <f>DD35-DD34</f>
        <v>0</v>
      </c>
      <c r="DE36" s="164"/>
      <c r="DF36" s="163">
        <f>DF35-DF34</f>
        <v>0</v>
      </c>
      <c r="DG36" s="163"/>
      <c r="DH36" s="163"/>
      <c r="DI36" s="163">
        <f>DI35-DI34</f>
        <v>0</v>
      </c>
      <c r="DJ36" s="163">
        <f>DJ35-DJ34</f>
        <v>0</v>
      </c>
      <c r="DK36" s="163">
        <f>DK35-DK34</f>
        <v>0</v>
      </c>
      <c r="DL36" s="164"/>
      <c r="DM36" s="164"/>
      <c r="DN36" s="164"/>
      <c r="DO36" s="164"/>
      <c r="DP36" s="163"/>
      <c r="DQ36" s="164"/>
      <c r="DR36" s="164"/>
      <c r="DS36" s="164"/>
      <c r="DT36" s="164"/>
      <c r="DU36" s="163"/>
      <c r="DV36" s="163">
        <f>DV35-DV34</f>
        <v>0</v>
      </c>
      <c r="DW36" s="163">
        <f>DW35-DW34</f>
        <v>0</v>
      </c>
      <c r="DX36" s="163"/>
      <c r="DY36" s="164"/>
      <c r="DZ36" s="163">
        <f>DZ35-DZ34</f>
        <v>0</v>
      </c>
      <c r="EA36" s="163"/>
      <c r="EB36" s="163"/>
      <c r="EC36" s="163"/>
      <c r="ED36" s="163"/>
      <c r="EE36" s="164"/>
      <c r="EF36" s="163">
        <f>EF35-EF34</f>
        <v>0</v>
      </c>
      <c r="EG36" s="163"/>
      <c r="EH36" s="163"/>
      <c r="EI36" s="163"/>
      <c r="EJ36" s="163">
        <f>EJ35-EJ34</f>
        <v>0</v>
      </c>
      <c r="EK36" s="163"/>
      <c r="EL36" s="163"/>
      <c r="EM36" s="163">
        <f>EM35-EM34</f>
        <v>0</v>
      </c>
      <c r="EN36" s="163"/>
      <c r="EO36" s="163"/>
      <c r="EP36" s="163"/>
      <c r="EQ36" s="163"/>
      <c r="ER36" s="163"/>
      <c r="ES36" s="163"/>
      <c r="ET36" s="163"/>
      <c r="EU36" s="163"/>
      <c r="EW36" s="314">
        <f>EW35-EW34</f>
        <v>0</v>
      </c>
      <c r="EX36" s="314"/>
      <c r="EY36" s="163">
        <f>EY35-EY34</f>
        <v>0</v>
      </c>
      <c r="EZ36" s="163"/>
      <c r="FA36" s="317"/>
      <c r="FB36" s="167"/>
      <c r="FC36" s="317"/>
      <c r="FD36" s="317"/>
      <c r="FE36" s="317"/>
      <c r="FF36" s="317"/>
      <c r="FG36" s="317" t="s">
        <v>466</v>
      </c>
      <c r="FH36" s="163">
        <f>FH34+FH35</f>
        <v>96602374.302029997</v>
      </c>
      <c r="FI36" s="163">
        <f t="shared" ref="FI36:FW36" si="193">FI34+FI35</f>
        <v>4023164.0531400004</v>
      </c>
      <c r="FJ36" s="163">
        <f t="shared" si="193"/>
        <v>128364404.53935</v>
      </c>
      <c r="FK36" s="163">
        <f t="shared" si="193"/>
        <v>2154228.8946500001</v>
      </c>
      <c r="FL36" s="163">
        <f t="shared" si="193"/>
        <v>31762030.237320002</v>
      </c>
      <c r="FM36" s="163">
        <f t="shared" si="193"/>
        <v>-1868935.1584900001</v>
      </c>
      <c r="FN36" s="163">
        <f t="shared" si="193"/>
        <v>1988858.3532999998</v>
      </c>
      <c r="FO36" s="163">
        <f t="shared" si="193"/>
        <v>1987407.71374</v>
      </c>
      <c r="FP36" s="163">
        <f t="shared" si="193"/>
        <v>1139043.6085699999</v>
      </c>
      <c r="FQ36" s="163">
        <f t="shared" si="193"/>
        <v>1121719.8108600001</v>
      </c>
      <c r="FR36" s="163">
        <f t="shared" si="193"/>
        <v>-849814.74472999992</v>
      </c>
      <c r="FS36" s="163">
        <f t="shared" si="193"/>
        <v>-865687.90287999983</v>
      </c>
      <c r="FT36" s="163">
        <f t="shared" si="193"/>
        <v>939141.92455999996</v>
      </c>
      <c r="FU36" s="163">
        <f t="shared" si="193"/>
        <v>284520.28935999994</v>
      </c>
      <c r="FV36" s="163">
        <f t="shared" si="193"/>
        <v>788899.62140999991</v>
      </c>
      <c r="FW36" s="163">
        <f t="shared" si="193"/>
        <v>236017.00273999997</v>
      </c>
      <c r="FX36" s="163">
        <f t="shared" ref="FX36:JE36" si="194">FX34+FX35</f>
        <v>-150242.30315000002</v>
      </c>
      <c r="FY36" s="163">
        <f t="shared" si="194"/>
        <v>-48503.286620000013</v>
      </c>
      <c r="FZ36" s="163">
        <f t="shared" si="194"/>
        <v>24366287.355190001</v>
      </c>
      <c r="GA36" s="163">
        <f t="shared" si="194"/>
        <v>340162.44864999998</v>
      </c>
      <c r="GB36" s="163">
        <f t="shared" si="194"/>
        <v>27320144.721760001</v>
      </c>
      <c r="GC36" s="163">
        <f t="shared" si="194"/>
        <v>349871.64794000005</v>
      </c>
      <c r="GD36" s="163">
        <f t="shared" si="194"/>
        <v>2953857.3665700001</v>
      </c>
      <c r="GE36" s="163">
        <f t="shared" si="194"/>
        <v>9709.1992900000005</v>
      </c>
      <c r="GF36" s="163">
        <f t="shared" si="194"/>
        <v>0</v>
      </c>
      <c r="GG36" s="163">
        <f t="shared" si="194"/>
        <v>0</v>
      </c>
      <c r="GH36" s="163">
        <f t="shared" si="194"/>
        <v>0</v>
      </c>
      <c r="GI36" s="163">
        <f t="shared" si="194"/>
        <v>0</v>
      </c>
      <c r="GJ36" s="163">
        <f t="shared" si="194"/>
        <v>0</v>
      </c>
      <c r="GK36" s="163">
        <f t="shared" si="194"/>
        <v>0</v>
      </c>
      <c r="GL36" s="163">
        <f t="shared" si="194"/>
        <v>205032.32652999999</v>
      </c>
      <c r="GM36" s="163">
        <f t="shared" si="194"/>
        <v>175067.73186</v>
      </c>
      <c r="GN36" s="163">
        <f t="shared" si="194"/>
        <v>226301.18523999996</v>
      </c>
      <c r="GO36" s="163">
        <f t="shared" si="194"/>
        <v>196660.58201000001</v>
      </c>
      <c r="GP36" s="163">
        <f t="shared" si="194"/>
        <v>21268.858710000008</v>
      </c>
      <c r="GQ36" s="163">
        <f t="shared" si="194"/>
        <v>21592.850149999991</v>
      </c>
      <c r="GR36" s="163">
        <f t="shared" si="194"/>
        <v>0</v>
      </c>
      <c r="GS36" s="163">
        <f t="shared" si="194"/>
        <v>0</v>
      </c>
      <c r="GT36" s="163">
        <f t="shared" si="194"/>
        <v>0</v>
      </c>
      <c r="GU36" s="163">
        <f t="shared" si="194"/>
        <v>0</v>
      </c>
      <c r="GV36" s="163">
        <f t="shared" si="194"/>
        <v>0</v>
      </c>
      <c r="GW36" s="163">
        <f t="shared" si="194"/>
        <v>0</v>
      </c>
      <c r="GX36" s="163">
        <f t="shared" si="194"/>
        <v>0</v>
      </c>
      <c r="GY36" s="163">
        <f t="shared" si="194"/>
        <v>0</v>
      </c>
      <c r="GZ36" s="163">
        <f t="shared" si="194"/>
        <v>0</v>
      </c>
      <c r="HA36" s="163">
        <f t="shared" si="194"/>
        <v>0</v>
      </c>
      <c r="HB36" s="163">
        <f t="shared" si="194"/>
        <v>0</v>
      </c>
      <c r="HC36" s="163">
        <f t="shared" si="194"/>
        <v>0</v>
      </c>
      <c r="HD36" s="163">
        <f t="shared" si="194"/>
        <v>0</v>
      </c>
      <c r="HE36" s="163">
        <f t="shared" si="194"/>
        <v>0</v>
      </c>
      <c r="HF36" s="163">
        <f t="shared" si="194"/>
        <v>0</v>
      </c>
      <c r="HG36" s="163">
        <f t="shared" ref="HG36" si="195">HG34+HG35</f>
        <v>0</v>
      </c>
      <c r="HH36" s="163">
        <f t="shared" si="194"/>
        <v>0</v>
      </c>
      <c r="HI36" s="163">
        <f t="shared" si="194"/>
        <v>0</v>
      </c>
      <c r="HJ36" s="163">
        <f t="shared" si="194"/>
        <v>0</v>
      </c>
      <c r="HK36" s="163">
        <f t="shared" si="194"/>
        <v>0</v>
      </c>
      <c r="HL36" s="163">
        <f t="shared" si="194"/>
        <v>0</v>
      </c>
      <c r="HM36" s="163">
        <f t="shared" si="194"/>
        <v>0</v>
      </c>
      <c r="HN36" s="163">
        <f t="shared" si="194"/>
        <v>0</v>
      </c>
      <c r="HO36" s="163">
        <f t="shared" si="194"/>
        <v>0</v>
      </c>
      <c r="HP36" s="163">
        <f t="shared" si="194"/>
        <v>1221363.2200499999</v>
      </c>
      <c r="HQ36" s="163">
        <f t="shared" si="194"/>
        <v>911972.07177999988</v>
      </c>
      <c r="HR36" s="163">
        <f t="shared" si="194"/>
        <v>364641.59513000003</v>
      </c>
      <c r="HS36" s="163">
        <f t="shared" si="194"/>
        <v>58280.56839</v>
      </c>
      <c r="HT36" s="163">
        <f t="shared" si="194"/>
        <v>-856721.62492000009</v>
      </c>
      <c r="HU36" s="163">
        <f t="shared" si="194"/>
        <v>-853691.50339000009</v>
      </c>
      <c r="HV36" s="163">
        <f t="shared" si="194"/>
        <v>654929.85504000017</v>
      </c>
      <c r="HW36" s="163">
        <f t="shared" si="194"/>
        <v>4597.9601099999991</v>
      </c>
      <c r="HX36" s="163">
        <f t="shared" si="194"/>
        <v>520610.02926000004</v>
      </c>
      <c r="HY36" s="163">
        <f t="shared" si="194"/>
        <v>6221.4713200000006</v>
      </c>
      <c r="HZ36" s="163">
        <f t="shared" si="194"/>
        <v>-134319.82578000001</v>
      </c>
      <c r="IA36" s="163">
        <f t="shared" si="194"/>
        <v>1623.5112100000006</v>
      </c>
      <c r="IB36" s="163">
        <f t="shared" si="194"/>
        <v>34578.583839999999</v>
      </c>
      <c r="IC36" s="163">
        <f t="shared" si="194"/>
        <v>27926.344570000001</v>
      </c>
      <c r="ID36" s="163">
        <f t="shared" si="194"/>
        <v>254875.89006999999</v>
      </c>
      <c r="IE36" s="163">
        <f t="shared" si="194"/>
        <v>23378.731760000006</v>
      </c>
      <c r="IF36" s="163">
        <f t="shared" ref="IF36:JB36" si="196">IF34+IF35</f>
        <v>220297.30622999999</v>
      </c>
      <c r="IG36" s="163">
        <f t="shared" si="196"/>
        <v>-4547.6128099999969</v>
      </c>
      <c r="IH36" s="163">
        <f t="shared" ref="IH36:IS36" si="197">IH34+IH35</f>
        <v>565832.94283000007</v>
      </c>
      <c r="II36" s="163">
        <f t="shared" si="197"/>
        <v>51263.643500000006</v>
      </c>
      <c r="IJ36" s="163">
        <f t="shared" si="197"/>
        <v>1025846.94358</v>
      </c>
      <c r="IK36" s="163">
        <f t="shared" si="197"/>
        <v>6554.9759999999997</v>
      </c>
      <c r="IL36" s="163">
        <f t="shared" si="197"/>
        <v>460014.00075000006</v>
      </c>
      <c r="IM36" s="163">
        <f t="shared" si="197"/>
        <v>-44708.667500000003</v>
      </c>
      <c r="IN36" s="163">
        <f t="shared" si="197"/>
        <v>471316.15370000002</v>
      </c>
      <c r="IO36" s="163">
        <f t="shared" si="197"/>
        <v>134152.82147</v>
      </c>
      <c r="IP36" s="163">
        <f t="shared" si="197"/>
        <v>638233.62504000007</v>
      </c>
      <c r="IQ36" s="163">
        <f t="shared" si="197"/>
        <v>51657.279840000003</v>
      </c>
      <c r="IR36" s="163">
        <f t="shared" si="197"/>
        <v>166917.47134000002</v>
      </c>
      <c r="IS36" s="163">
        <f t="shared" si="197"/>
        <v>-82495.541630000022</v>
      </c>
      <c r="IT36" s="163">
        <f t="shared" si="196"/>
        <v>13490997.3752</v>
      </c>
      <c r="IU36" s="163">
        <f t="shared" si="196"/>
        <v>50975.98631</v>
      </c>
      <c r="IV36" s="163">
        <f t="shared" si="196"/>
        <v>19345094.70775</v>
      </c>
      <c r="IW36" s="163">
        <f t="shared" si="196"/>
        <v>27769.372599999999</v>
      </c>
      <c r="IX36" s="163">
        <f t="shared" si="196"/>
        <v>5854097.3325500004</v>
      </c>
      <c r="IY36" s="163">
        <f t="shared" si="196"/>
        <v>-23206.613710000001</v>
      </c>
      <c r="IZ36" s="163">
        <f t="shared" si="196"/>
        <v>0</v>
      </c>
      <c r="JA36" s="163">
        <f t="shared" si="196"/>
        <v>0</v>
      </c>
      <c r="JB36" s="163">
        <f t="shared" si="196"/>
        <v>0</v>
      </c>
      <c r="JC36" s="163">
        <f t="shared" si="194"/>
        <v>0</v>
      </c>
      <c r="JD36" s="163">
        <f t="shared" si="194"/>
        <v>0</v>
      </c>
      <c r="JE36" s="163">
        <f t="shared" si="194"/>
        <v>0</v>
      </c>
      <c r="JF36" s="163">
        <f>JF34+JF35</f>
        <v>23408.906879999999</v>
      </c>
      <c r="JG36" s="163">
        <f t="shared" ref="JG36:JH36" si="198">JG34+JG35</f>
        <v>9962.4067399999985</v>
      </c>
      <c r="JH36" s="163">
        <f t="shared" si="198"/>
        <v>-13446.500140000002</v>
      </c>
      <c r="JI36" s="163">
        <f t="shared" ref="JI36" si="199">JI34+JI35</f>
        <v>388.73174</v>
      </c>
      <c r="JJ36" s="163">
        <f t="shared" ref="JJ36" si="200">JJ34+JJ35</f>
        <v>349.21649000000002</v>
      </c>
      <c r="JK36" s="163">
        <f t="shared" ref="JK36:JQ36" si="201">JK34+JK35</f>
        <v>-39.515250000000002</v>
      </c>
      <c r="JL36" s="163">
        <f t="shared" si="201"/>
        <v>1180.44659</v>
      </c>
      <c r="JM36" s="163">
        <f t="shared" si="201"/>
        <v>882.55547999999999</v>
      </c>
      <c r="JN36" s="163">
        <f t="shared" si="201"/>
        <v>-297.89111000000003</v>
      </c>
      <c r="JO36" s="163">
        <f t="shared" si="201"/>
        <v>559.47597999999994</v>
      </c>
      <c r="JP36" s="163">
        <f t="shared" si="201"/>
        <v>802.94940999999994</v>
      </c>
      <c r="JQ36" s="163">
        <f t="shared" si="201"/>
        <v>243.47342999999995</v>
      </c>
      <c r="JR36" s="163">
        <f t="shared" ref="JR36" si="202">JR34+JR35</f>
        <v>9128.4032499999994</v>
      </c>
      <c r="JS36" s="163">
        <f t="shared" ref="JS36:KF36" si="203">JS34+JS35</f>
        <v>9033.5652699999991</v>
      </c>
      <c r="JT36" s="163">
        <f t="shared" si="203"/>
        <v>-94.837980000000357</v>
      </c>
      <c r="JU36" s="163">
        <f t="shared" si="203"/>
        <v>8574.5512599999984</v>
      </c>
      <c r="JV36" s="163">
        <f t="shared" si="203"/>
        <v>6010.4951600000004</v>
      </c>
      <c r="JW36" s="163">
        <f t="shared" ref="JW36" si="204">JW34+JW35</f>
        <v>-2564.0560999999989</v>
      </c>
      <c r="JX36" s="163">
        <f t="shared" si="203"/>
        <v>1169.5861399999999</v>
      </c>
      <c r="JY36" s="163">
        <f t="shared" si="203"/>
        <v>8.69862</v>
      </c>
      <c r="JZ36" s="163">
        <f t="shared" ref="JZ36" si="205">JZ34+JZ35</f>
        <v>-1160.88752</v>
      </c>
      <c r="KA36" s="163">
        <f t="shared" si="203"/>
        <v>2834490.8611000003</v>
      </c>
      <c r="KB36" s="163">
        <f t="shared" si="203"/>
        <v>0</v>
      </c>
      <c r="KC36" s="163">
        <f t="shared" si="203"/>
        <v>10193700.224480001</v>
      </c>
      <c r="KD36" s="163">
        <f t="shared" si="203"/>
        <v>0</v>
      </c>
      <c r="KE36" s="163">
        <f t="shared" si="203"/>
        <v>7359209.3633800009</v>
      </c>
      <c r="KF36" s="163">
        <f t="shared" si="203"/>
        <v>0</v>
      </c>
    </row>
    <row r="37" spans="1:295" x14ac:dyDescent="0.25">
      <c r="AQ37" s="170" t="s">
        <v>583</v>
      </c>
      <c r="AR37" s="163">
        <f>AD34-AK34</f>
        <v>-4846175.1699099913</v>
      </c>
      <c r="AS37" s="164"/>
      <c r="AT37" s="164"/>
      <c r="AU37" s="164"/>
      <c r="AV37" s="164" t="s">
        <v>583</v>
      </c>
      <c r="AW37" s="163">
        <f>AE34-AL34</f>
        <v>-334364.38557000458</v>
      </c>
      <c r="BI37" s="174" t="s">
        <v>212</v>
      </c>
      <c r="BJ37" s="174" t="s">
        <v>213</v>
      </c>
      <c r="EN37" s="163"/>
      <c r="FF37" s="163"/>
      <c r="FH37" s="320"/>
      <c r="FI37" s="320"/>
      <c r="II37" s="320"/>
      <c r="IJ37" s="171"/>
      <c r="IO37" s="320"/>
      <c r="IP37" s="171"/>
      <c r="IU37" s="320"/>
      <c r="IV37" s="171"/>
    </row>
    <row r="38" spans="1:295" x14ac:dyDescent="0.25">
      <c r="A38" s="161" t="s">
        <v>152</v>
      </c>
      <c r="AQ38" s="170" t="s">
        <v>529</v>
      </c>
      <c r="AR38" s="163">
        <f>AR37-AR34</f>
        <v>-2722677.8671099911</v>
      </c>
      <c r="AS38" s="164"/>
      <c r="AT38" s="164"/>
      <c r="AU38" s="164"/>
      <c r="AV38" s="164" t="s">
        <v>529</v>
      </c>
      <c r="AW38" s="163">
        <f>AW37-AW34</f>
        <v>-4.5401975512504578E-9</v>
      </c>
      <c r="BI38" s="163">
        <f>Черн_кон.рас.!S8</f>
        <v>1685020.37971</v>
      </c>
      <c r="BJ38" s="171">
        <f>BI38-BK8</f>
        <v>0</v>
      </c>
      <c r="BK38" s="163"/>
      <c r="CR38" s="163"/>
      <c r="DB38" s="163"/>
      <c r="EZ38" s="163"/>
      <c r="FA38" s="163"/>
      <c r="FB38" s="164"/>
      <c r="FC38" s="163"/>
      <c r="FD38" s="163"/>
      <c r="FE38" s="163"/>
      <c r="FF38" s="163"/>
      <c r="FG38" s="163"/>
      <c r="FH38" s="163">
        <f t="shared" ref="FH38:FI38" si="206">FH34/1000</f>
        <v>5834.7666854800018</v>
      </c>
      <c r="FI38" s="163">
        <f t="shared" si="206"/>
        <v>2395.4299777000001</v>
      </c>
      <c r="FJ38" s="163">
        <f>FJ34/1000</f>
        <v>5213.4587993000005</v>
      </c>
      <c r="FK38" s="163">
        <f t="shared" ref="FK38:FM38" si="207">FK34/1000</f>
        <v>1126.52397262</v>
      </c>
      <c r="FL38" s="163">
        <f t="shared" si="207"/>
        <v>-621.30788618000224</v>
      </c>
      <c r="FM38" s="163">
        <f t="shared" si="207"/>
        <v>-1268.9060050800001</v>
      </c>
      <c r="FN38" s="163">
        <f t="shared" ref="FN38:FO38" si="208">FN34/1000</f>
        <v>476.97357872999999</v>
      </c>
      <c r="FO38" s="163">
        <f t="shared" si="208"/>
        <v>475.52293917000003</v>
      </c>
      <c r="FP38" s="163">
        <f>FP34/1000</f>
        <v>251.66743781</v>
      </c>
      <c r="FQ38" s="163">
        <f t="shared" ref="FQ38:FS38" si="209">FQ34/1000</f>
        <v>244.82386921</v>
      </c>
      <c r="FR38" s="163">
        <f t="shared" si="209"/>
        <v>-225.30614092000002</v>
      </c>
      <c r="FS38" s="163">
        <f t="shared" si="209"/>
        <v>-230.69906996000003</v>
      </c>
      <c r="FT38" s="163">
        <f t="shared" ref="FT38:GE38" si="210">FT34/1000</f>
        <v>925.83017216999997</v>
      </c>
      <c r="FU38" s="163">
        <f t="shared" si="210"/>
        <v>281.62798257999998</v>
      </c>
      <c r="FV38" s="163">
        <f t="shared" si="210"/>
        <v>778.0064238299999</v>
      </c>
      <c r="FW38" s="163">
        <f t="shared" si="210"/>
        <v>233.18168261999998</v>
      </c>
      <c r="FX38" s="163">
        <f t="shared" si="210"/>
        <v>-147.82374834000001</v>
      </c>
      <c r="FY38" s="163">
        <f t="shared" si="210"/>
        <v>-48.446299960000012</v>
      </c>
      <c r="FZ38" s="163">
        <f t="shared" si="210"/>
        <v>1529.1378421300001</v>
      </c>
      <c r="GA38" s="163">
        <f t="shared" si="210"/>
        <v>295.01278469999994</v>
      </c>
      <c r="GB38" s="163">
        <f t="shared" si="210"/>
        <v>1610.5092613299996</v>
      </c>
      <c r="GC38" s="163">
        <f t="shared" si="210"/>
        <v>302.59814809000005</v>
      </c>
      <c r="GD38" s="163">
        <f t="shared" si="210"/>
        <v>81.371419199999991</v>
      </c>
      <c r="GE38" s="163">
        <f t="shared" si="210"/>
        <v>7.5853633900000021</v>
      </c>
      <c r="GF38" s="163">
        <f t="shared" ref="GF38:GW38" si="211">GF34/1000</f>
        <v>0</v>
      </c>
      <c r="GG38" s="163">
        <f t="shared" si="211"/>
        <v>0</v>
      </c>
      <c r="GH38" s="163">
        <f t="shared" si="211"/>
        <v>0</v>
      </c>
      <c r="GI38" s="163">
        <f t="shared" si="211"/>
        <v>0</v>
      </c>
      <c r="GJ38" s="163">
        <f t="shared" si="211"/>
        <v>0</v>
      </c>
      <c r="GK38" s="163">
        <f t="shared" si="211"/>
        <v>0</v>
      </c>
      <c r="GL38" s="163">
        <f t="shared" si="211"/>
        <v>205.03229528999998</v>
      </c>
      <c r="GM38" s="163">
        <f t="shared" si="211"/>
        <v>175.06773186000001</v>
      </c>
      <c r="GN38" s="163">
        <f t="shared" si="211"/>
        <v>226.30118523999997</v>
      </c>
      <c r="GO38" s="163">
        <f t="shared" si="211"/>
        <v>196.66058201000001</v>
      </c>
      <c r="GP38" s="163">
        <f t="shared" si="211"/>
        <v>21.268889950000009</v>
      </c>
      <c r="GQ38" s="163">
        <f t="shared" si="211"/>
        <v>21.59285014999999</v>
      </c>
      <c r="GR38" s="163">
        <f t="shared" si="211"/>
        <v>0</v>
      </c>
      <c r="GS38" s="163">
        <f t="shared" si="211"/>
        <v>0</v>
      </c>
      <c r="GT38" s="163">
        <f t="shared" si="211"/>
        <v>0</v>
      </c>
      <c r="GU38" s="163">
        <f t="shared" si="211"/>
        <v>0</v>
      </c>
      <c r="GV38" s="163">
        <f t="shared" si="211"/>
        <v>0</v>
      </c>
      <c r="GW38" s="163">
        <f t="shared" si="211"/>
        <v>0</v>
      </c>
      <c r="IH38" s="163">
        <f t="shared" ref="IH38:IS38" si="212">IH34/1000</f>
        <v>167.11461828000003</v>
      </c>
      <c r="II38" s="163">
        <f t="shared" si="212"/>
        <v>51.263643500000008</v>
      </c>
      <c r="IJ38" s="163">
        <f t="shared" si="212"/>
        <v>459.61180537999996</v>
      </c>
      <c r="IK38" s="163">
        <f t="shared" si="212"/>
        <v>6.5549759999999999</v>
      </c>
      <c r="IL38" s="163">
        <f t="shared" si="212"/>
        <v>292.49718710000002</v>
      </c>
      <c r="IM38" s="163">
        <f t="shared" si="212"/>
        <v>-44.708667500000004</v>
      </c>
      <c r="IN38" s="163">
        <f t="shared" si="212"/>
        <v>155.22754992</v>
      </c>
      <c r="IO38" s="163">
        <f t="shared" si="212"/>
        <v>133.98700513</v>
      </c>
      <c r="IP38" s="163">
        <f t="shared" si="212"/>
        <v>364.70393677999999</v>
      </c>
      <c r="IQ38" s="163">
        <f t="shared" si="212"/>
        <v>51.484482640000003</v>
      </c>
      <c r="IR38" s="163">
        <f t="shared" si="212"/>
        <v>209.47638685999999</v>
      </c>
      <c r="IS38" s="163">
        <f t="shared" si="212"/>
        <v>-82.502522490000018</v>
      </c>
      <c r="IT38" s="163">
        <f t="shared" ref="IT38:IY38" si="213">IT34/1000</f>
        <v>978.35137100999975</v>
      </c>
      <c r="IU38" s="163">
        <f t="shared" si="213"/>
        <v>50.975986310000003</v>
      </c>
      <c r="IV38" s="163">
        <f t="shared" si="213"/>
        <v>867.55124508999995</v>
      </c>
      <c r="IW38" s="163">
        <f t="shared" si="213"/>
        <v>27.769170599999999</v>
      </c>
      <c r="IX38" s="163">
        <f t="shared" si="213"/>
        <v>-110.80012591999999</v>
      </c>
      <c r="IY38" s="163">
        <f t="shared" si="213"/>
        <v>-23.206815710000004</v>
      </c>
      <c r="JG38" s="163">
        <f>JG34/JF34%-100</f>
        <v>-57.441811396534554</v>
      </c>
      <c r="JJ38" s="163">
        <f>JJ34/JI34%-100</f>
        <v>-10.165172002677224</v>
      </c>
      <c r="JS38" s="163">
        <f>JS34/JR34%-100</f>
        <v>-1.0389328495101324</v>
      </c>
    </row>
    <row r="39" spans="1:295" x14ac:dyDescent="0.25">
      <c r="A39" s="161" t="s">
        <v>153</v>
      </c>
      <c r="BI39" s="163">
        <f>Черн_кон.рас.!S9</f>
        <v>616643.00066999998</v>
      </c>
      <c r="BJ39" s="171">
        <f t="shared" ref="BJ39:BJ63" si="214">BI39-BK9</f>
        <v>0</v>
      </c>
      <c r="CR39" s="163"/>
      <c r="CS39" s="163"/>
      <c r="CT39" s="163"/>
      <c r="FH39" s="163">
        <f t="shared" ref="FH39:FM39" si="215">FH35/1000</f>
        <v>90767.607616549998</v>
      </c>
      <c r="FI39" s="163">
        <f t="shared" si="215"/>
        <v>1627.73407544</v>
      </c>
      <c r="FJ39" s="163">
        <f t="shared" si="215"/>
        <v>123150.94574005</v>
      </c>
      <c r="FK39" s="163">
        <f t="shared" si="215"/>
        <v>1027.70492203</v>
      </c>
      <c r="FL39" s="163">
        <f t="shared" si="215"/>
        <v>32383.338123500005</v>
      </c>
      <c r="FM39" s="163">
        <f t="shared" si="215"/>
        <v>-600.02915341000005</v>
      </c>
      <c r="FN39" s="163">
        <f t="shared" ref="FN39:FO39" si="216">FN35/1000</f>
        <v>1511.88477457</v>
      </c>
      <c r="FO39" s="163">
        <f t="shared" si="216"/>
        <v>1511.88477457</v>
      </c>
      <c r="FP39" s="163">
        <f t="shared" ref="FP39:FS39" si="217">FP35/1000</f>
        <v>887.37617076000004</v>
      </c>
      <c r="FQ39" s="163">
        <f t="shared" si="217"/>
        <v>876.89594165000005</v>
      </c>
      <c r="FR39" s="163">
        <f t="shared" si="217"/>
        <v>-624.50860380999984</v>
      </c>
      <c r="FS39" s="163">
        <f t="shared" si="217"/>
        <v>-634.98883291999982</v>
      </c>
      <c r="FT39" s="163">
        <f t="shared" ref="FT39:GE39" si="218">FT35/1000</f>
        <v>13.311752389999999</v>
      </c>
      <c r="FU39" s="163">
        <f t="shared" si="218"/>
        <v>2.8923067799999997</v>
      </c>
      <c r="FV39" s="163">
        <f t="shared" si="218"/>
        <v>10.893197580000001</v>
      </c>
      <c r="FW39" s="163">
        <f t="shared" si="218"/>
        <v>2.83532012</v>
      </c>
      <c r="FX39" s="163">
        <f t="shared" si="218"/>
        <v>-2.4185548099999998</v>
      </c>
      <c r="FY39" s="163">
        <f t="shared" si="218"/>
        <v>-5.6986660000000029E-2</v>
      </c>
      <c r="FZ39" s="163">
        <f t="shared" si="218"/>
        <v>22837.149513060001</v>
      </c>
      <c r="GA39" s="163">
        <f t="shared" si="218"/>
        <v>45.149663950000004</v>
      </c>
      <c r="GB39" s="163">
        <f t="shared" si="218"/>
        <v>25709.63546043</v>
      </c>
      <c r="GC39" s="163">
        <f t="shared" si="218"/>
        <v>47.27349985</v>
      </c>
      <c r="GD39" s="163">
        <f t="shared" si="218"/>
        <v>2872.4859473700003</v>
      </c>
      <c r="GE39" s="163">
        <f t="shared" si="218"/>
        <v>2.1238358999999982</v>
      </c>
      <c r="GF39" s="163">
        <f t="shared" ref="GF39:GW39" si="219">GF35/1000</f>
        <v>0</v>
      </c>
      <c r="GG39" s="163">
        <f t="shared" si="219"/>
        <v>0</v>
      </c>
      <c r="GH39" s="163">
        <f t="shared" si="219"/>
        <v>0</v>
      </c>
      <c r="GI39" s="163">
        <f t="shared" si="219"/>
        <v>0</v>
      </c>
      <c r="GJ39" s="163">
        <f t="shared" si="219"/>
        <v>0</v>
      </c>
      <c r="GK39" s="163">
        <f t="shared" si="219"/>
        <v>0</v>
      </c>
      <c r="GL39" s="163">
        <f t="shared" si="219"/>
        <v>3.1239999999999999E-5</v>
      </c>
      <c r="GM39" s="163">
        <f t="shared" si="219"/>
        <v>0</v>
      </c>
      <c r="GN39" s="163">
        <f t="shared" si="219"/>
        <v>0</v>
      </c>
      <c r="GO39" s="163">
        <f t="shared" si="219"/>
        <v>0</v>
      </c>
      <c r="GP39" s="163">
        <f t="shared" si="219"/>
        <v>-3.1239999999999999E-5</v>
      </c>
      <c r="GQ39" s="163">
        <f t="shared" si="219"/>
        <v>0</v>
      </c>
      <c r="GR39" s="163">
        <f t="shared" si="219"/>
        <v>0</v>
      </c>
      <c r="GS39" s="163">
        <f t="shared" si="219"/>
        <v>0</v>
      </c>
      <c r="GT39" s="163">
        <f t="shared" si="219"/>
        <v>0</v>
      </c>
      <c r="GU39" s="163">
        <f t="shared" si="219"/>
        <v>0</v>
      </c>
      <c r="GV39" s="163">
        <f t="shared" si="219"/>
        <v>0</v>
      </c>
      <c r="GW39" s="163">
        <f t="shared" si="219"/>
        <v>0</v>
      </c>
      <c r="HP39" s="163">
        <f>HP34/1000</f>
        <v>1215.5314039699999</v>
      </c>
      <c r="HQ39" s="163">
        <f t="shared" ref="HQ39:HU39" si="220">HQ34/1000</f>
        <v>911.85208225999997</v>
      </c>
      <c r="HR39" s="163">
        <f t="shared" si="220"/>
        <v>303.02242095000008</v>
      </c>
      <c r="HS39" s="163">
        <f t="shared" si="220"/>
        <v>20.983444029999994</v>
      </c>
      <c r="HT39" s="163">
        <f t="shared" si="220"/>
        <v>-912.50898302000007</v>
      </c>
      <c r="HU39" s="163">
        <f t="shared" si="220"/>
        <v>-890.86863822999999</v>
      </c>
      <c r="IH39" s="163">
        <f t="shared" ref="IH39:IS39" si="221">IH35/1000</f>
        <v>398.71832455000003</v>
      </c>
      <c r="II39" s="163">
        <f t="shared" si="221"/>
        <v>0</v>
      </c>
      <c r="IJ39" s="163">
        <f t="shared" si="221"/>
        <v>566.23513820000005</v>
      </c>
      <c r="IK39" s="163">
        <f t="shared" si="221"/>
        <v>0</v>
      </c>
      <c r="IL39" s="163">
        <f t="shared" si="221"/>
        <v>167.51681365000002</v>
      </c>
      <c r="IM39" s="163">
        <f t="shared" si="221"/>
        <v>0</v>
      </c>
      <c r="IN39" s="163">
        <f t="shared" si="221"/>
        <v>316.08860378000003</v>
      </c>
      <c r="IO39" s="163">
        <f t="shared" si="221"/>
        <v>0.16581634000000001</v>
      </c>
      <c r="IP39" s="163">
        <f t="shared" si="221"/>
        <v>273.52968826</v>
      </c>
      <c r="IQ39" s="163">
        <f t="shared" si="221"/>
        <v>0.17279720000000001</v>
      </c>
      <c r="IR39" s="163">
        <f t="shared" si="221"/>
        <v>-42.558915519999978</v>
      </c>
      <c r="IS39" s="163">
        <f t="shared" si="221"/>
        <v>6.9808600000000071E-3</v>
      </c>
      <c r="IT39" s="163">
        <f t="shared" ref="IT39:IY39" si="222">IT35/1000</f>
        <v>12512.646004189999</v>
      </c>
      <c r="IU39" s="163">
        <f t="shared" si="222"/>
        <v>0</v>
      </c>
      <c r="IV39" s="163">
        <f t="shared" si="222"/>
        <v>18477.54346266</v>
      </c>
      <c r="IW39" s="163">
        <f t="shared" si="222"/>
        <v>2.02E-4</v>
      </c>
      <c r="IX39" s="163">
        <f t="shared" si="222"/>
        <v>5964.8974584699999</v>
      </c>
      <c r="IY39" s="163">
        <f t="shared" si="222"/>
        <v>2.02E-4</v>
      </c>
    </row>
    <row r="40" spans="1:295" x14ac:dyDescent="0.25">
      <c r="A40" s="161" t="s">
        <v>154</v>
      </c>
      <c r="BI40" s="163">
        <f>Черн_кон.рас.!S10</f>
        <v>709180.76410999999</v>
      </c>
      <c r="BJ40" s="171">
        <f t="shared" si="214"/>
        <v>0</v>
      </c>
      <c r="FH40" s="163">
        <f t="shared" ref="FH40:FM40" si="223">FH36/1000</f>
        <v>96602.374302030003</v>
      </c>
      <c r="FI40" s="163">
        <f t="shared" si="223"/>
        <v>4023.1640531400003</v>
      </c>
      <c r="FJ40" s="163">
        <f t="shared" si="223"/>
        <v>128364.40453935</v>
      </c>
      <c r="FK40" s="163">
        <f t="shared" si="223"/>
        <v>2154.2288946500003</v>
      </c>
      <c r="FL40" s="163">
        <f t="shared" si="223"/>
        <v>31762.030237320003</v>
      </c>
      <c r="FM40" s="163">
        <f t="shared" si="223"/>
        <v>-1868.93515849</v>
      </c>
      <c r="FN40" s="163">
        <f t="shared" ref="FN40:FO40" si="224">FN36/1000</f>
        <v>1988.8583532999999</v>
      </c>
      <c r="FO40" s="163">
        <f t="shared" si="224"/>
        <v>1987.40771374</v>
      </c>
      <c r="FP40" s="163">
        <f t="shared" ref="FP40:FS40" si="225">FP36/1000</f>
        <v>1139.0436085699998</v>
      </c>
      <c r="FQ40" s="163">
        <f t="shared" si="225"/>
        <v>1121.7198108600001</v>
      </c>
      <c r="FR40" s="163">
        <f t="shared" si="225"/>
        <v>-849.81474472999992</v>
      </c>
      <c r="FS40" s="163">
        <f t="shared" si="225"/>
        <v>-865.6879028799998</v>
      </c>
      <c r="FT40" s="163">
        <f t="shared" ref="FT40:GE40" si="226">FT36/1000</f>
        <v>939.14192456000001</v>
      </c>
      <c r="FU40" s="163">
        <f t="shared" si="226"/>
        <v>284.52028935999994</v>
      </c>
      <c r="FV40" s="163">
        <f t="shared" si="226"/>
        <v>788.8996214099999</v>
      </c>
      <c r="FW40" s="163">
        <f t="shared" si="226"/>
        <v>236.01700273999998</v>
      </c>
      <c r="FX40" s="163">
        <f t="shared" si="226"/>
        <v>-150.24230315000003</v>
      </c>
      <c r="FY40" s="163">
        <f t="shared" si="226"/>
        <v>-48.503286620000011</v>
      </c>
      <c r="FZ40" s="163">
        <f t="shared" si="226"/>
        <v>24366.287355190001</v>
      </c>
      <c r="GA40" s="163">
        <f t="shared" si="226"/>
        <v>340.16244864999999</v>
      </c>
      <c r="GB40" s="163">
        <f t="shared" si="226"/>
        <v>27320.14472176</v>
      </c>
      <c r="GC40" s="163">
        <f t="shared" si="226"/>
        <v>349.87164794000006</v>
      </c>
      <c r="GD40" s="163">
        <f t="shared" si="226"/>
        <v>2953.8573665700001</v>
      </c>
      <c r="GE40" s="163">
        <f t="shared" si="226"/>
        <v>9.7091992900000008</v>
      </c>
      <c r="GF40" s="163">
        <f t="shared" ref="GF40:GW40" si="227">GF36/1000</f>
        <v>0</v>
      </c>
      <c r="GG40" s="163">
        <f t="shared" si="227"/>
        <v>0</v>
      </c>
      <c r="GH40" s="163">
        <f t="shared" si="227"/>
        <v>0</v>
      </c>
      <c r="GI40" s="163">
        <f t="shared" si="227"/>
        <v>0</v>
      </c>
      <c r="GJ40" s="163">
        <f t="shared" si="227"/>
        <v>0</v>
      </c>
      <c r="GK40" s="163">
        <f t="shared" si="227"/>
        <v>0</v>
      </c>
      <c r="GL40" s="163">
        <f t="shared" si="227"/>
        <v>205.03232652999998</v>
      </c>
      <c r="GM40" s="163">
        <f t="shared" si="227"/>
        <v>175.06773186000001</v>
      </c>
      <c r="GN40" s="163">
        <f t="shared" si="227"/>
        <v>226.30118523999997</v>
      </c>
      <c r="GO40" s="163">
        <f t="shared" si="227"/>
        <v>196.66058201000001</v>
      </c>
      <c r="GP40" s="163">
        <f t="shared" si="227"/>
        <v>21.268858710000007</v>
      </c>
      <c r="GQ40" s="163">
        <f t="shared" si="227"/>
        <v>21.59285014999999</v>
      </c>
      <c r="GR40" s="163">
        <f t="shared" si="227"/>
        <v>0</v>
      </c>
      <c r="GS40" s="163">
        <f t="shared" si="227"/>
        <v>0</v>
      </c>
      <c r="GT40" s="163">
        <f t="shared" si="227"/>
        <v>0</v>
      </c>
      <c r="GU40" s="163">
        <f t="shared" si="227"/>
        <v>0</v>
      </c>
      <c r="GV40" s="163">
        <f t="shared" si="227"/>
        <v>0</v>
      </c>
      <c r="GW40" s="163">
        <f t="shared" si="227"/>
        <v>0</v>
      </c>
      <c r="HP40" s="163">
        <f t="shared" ref="HP40:HU40" si="228">HP35/1000</f>
        <v>5.8318160799999994</v>
      </c>
      <c r="HQ40" s="163">
        <f t="shared" si="228"/>
        <v>0.11998952</v>
      </c>
      <c r="HR40" s="163">
        <f t="shared" si="228"/>
        <v>61.619174180000002</v>
      </c>
      <c r="HS40" s="163">
        <f t="shared" si="228"/>
        <v>37.297124360000005</v>
      </c>
      <c r="HT40" s="163">
        <f t="shared" si="228"/>
        <v>55.787358100000006</v>
      </c>
      <c r="HU40" s="163">
        <f t="shared" si="228"/>
        <v>37.177134840000001</v>
      </c>
      <c r="IH40" s="163">
        <f t="shared" ref="IH40:IS40" si="229">IH36/1000</f>
        <v>565.83294283000009</v>
      </c>
      <c r="II40" s="163">
        <f t="shared" si="229"/>
        <v>51.263643500000008</v>
      </c>
      <c r="IJ40" s="163">
        <f t="shared" si="229"/>
        <v>1025.84694358</v>
      </c>
      <c r="IK40" s="163">
        <f t="shared" si="229"/>
        <v>6.5549759999999999</v>
      </c>
      <c r="IL40" s="163">
        <f t="shared" si="229"/>
        <v>460.01400075000004</v>
      </c>
      <c r="IM40" s="163">
        <f t="shared" si="229"/>
        <v>-44.708667500000004</v>
      </c>
      <c r="IN40" s="163">
        <f t="shared" si="229"/>
        <v>471.31615370000003</v>
      </c>
      <c r="IO40" s="163">
        <f t="shared" si="229"/>
        <v>134.15282146999999</v>
      </c>
      <c r="IP40" s="163">
        <f t="shared" si="229"/>
        <v>638.23362504000011</v>
      </c>
      <c r="IQ40" s="163">
        <f t="shared" si="229"/>
        <v>51.657279840000001</v>
      </c>
      <c r="IR40" s="163">
        <f t="shared" si="229"/>
        <v>166.91747134000002</v>
      </c>
      <c r="IS40" s="163">
        <f t="shared" si="229"/>
        <v>-82.495541630000019</v>
      </c>
      <c r="IT40" s="163">
        <f t="shared" ref="IT40:IY40" si="230">IT36/1000</f>
        <v>13490.997375200001</v>
      </c>
      <c r="IU40" s="163">
        <f t="shared" si="230"/>
        <v>50.975986310000003</v>
      </c>
      <c r="IV40" s="163">
        <f t="shared" si="230"/>
        <v>19345.094707749999</v>
      </c>
      <c r="IW40" s="163">
        <f t="shared" si="230"/>
        <v>27.769372600000001</v>
      </c>
      <c r="IX40" s="163">
        <f t="shared" si="230"/>
        <v>5854.0973325500008</v>
      </c>
      <c r="IY40" s="163">
        <f t="shared" si="230"/>
        <v>-23.206613710000003</v>
      </c>
    </row>
    <row r="41" spans="1:295" x14ac:dyDescent="0.25">
      <c r="A41" s="161" t="s">
        <v>155</v>
      </c>
      <c r="BI41" s="163">
        <f>Черн_кон.рас.!S11</f>
        <v>683286.35843999998</v>
      </c>
      <c r="BJ41" s="171">
        <f t="shared" si="214"/>
        <v>0</v>
      </c>
      <c r="FI41" s="163">
        <f>FI40/FH40%</f>
        <v>4.1646637385551895</v>
      </c>
      <c r="FK41" s="163">
        <f>FK40/FJ40%</f>
        <v>1.6782136000869488</v>
      </c>
      <c r="FL41" s="163">
        <f>FK41-FI41</f>
        <v>-2.4864501384682409</v>
      </c>
      <c r="HP41" s="163">
        <f t="shared" ref="HP41:HU41" si="231">HP36/1000</f>
        <v>1221.3632200499999</v>
      </c>
      <c r="HQ41" s="163">
        <f t="shared" si="231"/>
        <v>911.97207177999985</v>
      </c>
      <c r="HR41" s="163">
        <f t="shared" si="231"/>
        <v>364.64159513000004</v>
      </c>
      <c r="HS41" s="163">
        <f t="shared" si="231"/>
        <v>58.280568389999999</v>
      </c>
      <c r="HT41" s="163">
        <f t="shared" si="231"/>
        <v>-856.72162492000007</v>
      </c>
      <c r="HU41" s="163">
        <f t="shared" si="231"/>
        <v>-853.69150339000009</v>
      </c>
    </row>
    <row r="42" spans="1:295" x14ac:dyDescent="0.25">
      <c r="A42" s="161" t="s">
        <v>156</v>
      </c>
      <c r="BI42" s="163">
        <f>Черн_кон.рас.!S12</f>
        <v>692149.22884999996</v>
      </c>
      <c r="BJ42" s="171">
        <f t="shared" si="214"/>
        <v>0</v>
      </c>
      <c r="FJ42" s="163">
        <f>FJ38/FH38%-100</f>
        <v>-10.648375842107711</v>
      </c>
      <c r="FK42" s="163">
        <f>FK38/FI38%-100</f>
        <v>-52.971951461438877</v>
      </c>
      <c r="FP42" s="163">
        <f>FP38/FN38%-100</f>
        <v>-47.236608266626618</v>
      </c>
      <c r="FQ42" s="163">
        <f>FQ38/FO38%-100</f>
        <v>-48.51481410395742</v>
      </c>
      <c r="GB42" s="163">
        <f t="shared" ref="GB42:GC44" si="232">GB34/FZ34%-100</f>
        <v>5.3213920261533758</v>
      </c>
      <c r="GC42" s="163">
        <f t="shared" si="232"/>
        <v>2.571198193228696</v>
      </c>
      <c r="IJ42" s="163">
        <f t="shared" ref="IJ42:IJ44" si="233">IJ34/IH34%-100</f>
        <v>175.02788811085446</v>
      </c>
      <c r="IK42" s="163">
        <f t="shared" ref="IK42:IK44" si="234">IK34/II34%-100</f>
        <v>-87.213206958260784</v>
      </c>
      <c r="IP42" s="163">
        <f t="shared" ref="IP42:IP44" si="235">IP34/IN34%-100</f>
        <v>134.94794382051276</v>
      </c>
      <c r="IQ42" s="163">
        <f t="shared" ref="IQ42:IQ44" si="236">IQ34/IO34%-100</f>
        <v>-61.575017972789581</v>
      </c>
      <c r="IV42" s="163">
        <f t="shared" ref="IV42:IV44" si="237">IV34/IT34%-100</f>
        <v>-11.325187371651097</v>
      </c>
      <c r="IW42" s="163">
        <f t="shared" ref="IW42:IW44" si="238">IW34/IU34%-100</f>
        <v>-45.524995963535687</v>
      </c>
    </row>
    <row r="43" spans="1:295" x14ac:dyDescent="0.25">
      <c r="A43" s="161" t="s">
        <v>157</v>
      </c>
      <c r="BI43" s="163">
        <f>Черн_кон.рас.!S13</f>
        <v>752848.33394000004</v>
      </c>
      <c r="BJ43" s="171">
        <f t="shared" si="214"/>
        <v>0</v>
      </c>
      <c r="FJ43" s="163">
        <f t="shared" ref="FJ43:FJ44" si="239">FJ39/FH39%-100</f>
        <v>35.677196936052553</v>
      </c>
      <c r="FK43" s="163">
        <f t="shared" ref="FK43:FK44" si="240">FK39/FI39%-100</f>
        <v>-36.862848942189984</v>
      </c>
      <c r="FP43" s="163">
        <f t="shared" ref="FP43:FQ44" si="241">FP39/FN39%-100</f>
        <v>-41.306626954267628</v>
      </c>
      <c r="FQ43" s="163">
        <f t="shared" si="241"/>
        <v>-41.999816626276903</v>
      </c>
      <c r="GB43" s="163">
        <f t="shared" si="232"/>
        <v>12.578128219230237</v>
      </c>
      <c r="GC43" s="163">
        <f t="shared" si="232"/>
        <v>4.703990493377745</v>
      </c>
      <c r="IJ43" s="163">
        <f t="shared" si="233"/>
        <v>42.013823628262429</v>
      </c>
      <c r="IK43" s="163" t="e">
        <f t="shared" si="234"/>
        <v>#DIV/0!</v>
      </c>
      <c r="IP43" s="163">
        <f t="shared" si="235"/>
        <v>-13.464235980371285</v>
      </c>
      <c r="IQ43" s="163">
        <f t="shared" si="236"/>
        <v>4.2099952272496211</v>
      </c>
      <c r="IV43" s="163">
        <f t="shared" si="237"/>
        <v>47.670951903159306</v>
      </c>
      <c r="IW43" s="163" t="e">
        <f t="shared" si="238"/>
        <v>#DIV/0!</v>
      </c>
    </row>
    <row r="44" spans="1:295" x14ac:dyDescent="0.25">
      <c r="A44" s="161" t="s">
        <v>158</v>
      </c>
      <c r="BI44" s="163">
        <f>Черн_кон.рас.!S14</f>
        <v>762756.16538000002</v>
      </c>
      <c r="BJ44" s="171">
        <f t="shared" si="214"/>
        <v>0</v>
      </c>
      <c r="FJ44" s="163">
        <f t="shared" si="239"/>
        <v>32.879140359444108</v>
      </c>
      <c r="FK44" s="163">
        <f t="shared" si="240"/>
        <v>-46.454361139743554</v>
      </c>
      <c r="FP44" s="163">
        <f t="shared" si="241"/>
        <v>-42.728771675466511</v>
      </c>
      <c r="FQ44" s="163">
        <f t="shared" si="241"/>
        <v>-43.558646617653835</v>
      </c>
      <c r="GB44" s="163">
        <f t="shared" si="232"/>
        <v>12.122722364352441</v>
      </c>
      <c r="GC44" s="163">
        <f t="shared" si="232"/>
        <v>2.8542831016571313</v>
      </c>
      <c r="IJ44" s="163">
        <f t="shared" si="233"/>
        <v>81.298554030673927</v>
      </c>
      <c r="IK44" s="163">
        <f t="shared" si="234"/>
        <v>-87.213206958260784</v>
      </c>
      <c r="IP44" s="163">
        <f t="shared" si="235"/>
        <v>35.415181514496879</v>
      </c>
      <c r="IQ44" s="163">
        <f t="shared" si="236"/>
        <v>-61.493706003379224</v>
      </c>
      <c r="IV44" s="163">
        <f t="shared" si="237"/>
        <v>43.392620795489677</v>
      </c>
      <c r="IW44" s="163">
        <f t="shared" si="238"/>
        <v>-45.524599698520284</v>
      </c>
    </row>
    <row r="45" spans="1:295" x14ac:dyDescent="0.25">
      <c r="A45" s="161" t="s">
        <v>159</v>
      </c>
      <c r="BI45" s="163">
        <f>Черн_кон.рас.!S15</f>
        <v>713142.41910000006</v>
      </c>
      <c r="BJ45" s="171">
        <f t="shared" si="214"/>
        <v>0</v>
      </c>
      <c r="GD45" s="163">
        <f>GD27/1000</f>
        <v>-216.24540439000003</v>
      </c>
    </row>
    <row r="46" spans="1:295" x14ac:dyDescent="0.25">
      <c r="A46" s="161" t="s">
        <v>160</v>
      </c>
      <c r="BI46" s="163">
        <f>Черн_кон.рас.!S16</f>
        <v>607366.71282999997</v>
      </c>
      <c r="BJ46" s="171">
        <f t="shared" si="214"/>
        <v>0</v>
      </c>
    </row>
    <row r="47" spans="1:295" x14ac:dyDescent="0.25">
      <c r="A47" s="161" t="s">
        <v>161</v>
      </c>
      <c r="BI47" s="163">
        <f>Черн_кон.рас.!S17</f>
        <v>462602.52567</v>
      </c>
      <c r="BJ47" s="171">
        <f t="shared" si="214"/>
        <v>0</v>
      </c>
      <c r="GB47" s="163">
        <f>GB36/FJ36%</f>
        <v>21.283271495553141</v>
      </c>
    </row>
    <row r="48" spans="1:295" x14ac:dyDescent="0.25">
      <c r="A48" s="161" t="s">
        <v>162</v>
      </c>
      <c r="BI48" s="163">
        <f>Черн_кон.рас.!S18</f>
        <v>730758.02151999995</v>
      </c>
      <c r="BJ48" s="171">
        <f t="shared" si="214"/>
        <v>0</v>
      </c>
    </row>
    <row r="49" spans="1:63" x14ac:dyDescent="0.25">
      <c r="A49" s="161" t="s">
        <v>163</v>
      </c>
      <c r="BI49" s="163">
        <f>Черн_кон.рас.!S19</f>
        <v>1218082.3523200001</v>
      </c>
      <c r="BJ49" s="171">
        <f t="shared" si="214"/>
        <v>0</v>
      </c>
    </row>
    <row r="50" spans="1:63" x14ac:dyDescent="0.25">
      <c r="A50" s="161" t="s">
        <v>164</v>
      </c>
      <c r="BI50" s="163">
        <f>Черн_кон.рас.!S20</f>
        <v>842408.64740999998</v>
      </c>
      <c r="BJ50" s="171">
        <f t="shared" si="214"/>
        <v>0</v>
      </c>
    </row>
    <row r="51" spans="1:63" x14ac:dyDescent="0.25">
      <c r="A51" s="161" t="s">
        <v>165</v>
      </c>
      <c r="BI51" s="163">
        <f>Черн_кон.рас.!S21</f>
        <v>1316432.4772699999</v>
      </c>
      <c r="BJ51" s="171">
        <f t="shared" si="214"/>
        <v>0</v>
      </c>
    </row>
    <row r="52" spans="1:63" x14ac:dyDescent="0.25">
      <c r="A52" s="161" t="s">
        <v>166</v>
      </c>
      <c r="BI52" s="163">
        <f>Черн_кон.рас.!S22</f>
        <v>1023144.76624</v>
      </c>
      <c r="BJ52" s="171">
        <f t="shared" si="214"/>
        <v>0</v>
      </c>
    </row>
    <row r="53" spans="1:63" x14ac:dyDescent="0.25">
      <c r="A53" s="161" t="s">
        <v>167</v>
      </c>
      <c r="BI53" s="163">
        <f>Черн_кон.рас.!S23</f>
        <v>1096893.18408</v>
      </c>
      <c r="BJ53" s="171">
        <f t="shared" si="214"/>
        <v>0</v>
      </c>
    </row>
    <row r="54" spans="1:63" x14ac:dyDescent="0.25">
      <c r="A54" s="161" t="s">
        <v>168</v>
      </c>
      <c r="BI54" s="163">
        <f>Черн_кон.рас.!S24</f>
        <v>1440798.1897700001</v>
      </c>
      <c r="BJ54" s="171">
        <f t="shared" si="214"/>
        <v>0</v>
      </c>
    </row>
    <row r="55" spans="1:63" x14ac:dyDescent="0.25">
      <c r="A55" s="161" t="s">
        <v>169</v>
      </c>
      <c r="BI55" s="163">
        <f>Черн_кон.рас.!S25</f>
        <v>1031748.58682</v>
      </c>
      <c r="BJ55" s="171">
        <f t="shared" si="214"/>
        <v>0</v>
      </c>
    </row>
    <row r="56" spans="1:63" x14ac:dyDescent="0.25">
      <c r="A56" s="161" t="s">
        <v>170</v>
      </c>
      <c r="BI56" s="163">
        <f>Черн_кон.рас.!S26</f>
        <v>475556.68907999998</v>
      </c>
      <c r="BJ56" s="171">
        <f t="shared" si="214"/>
        <v>0</v>
      </c>
    </row>
    <row r="57" spans="1:63" x14ac:dyDescent="0.25">
      <c r="A57" s="161" t="s">
        <v>171</v>
      </c>
      <c r="BI57" s="163">
        <f>Черн_кон.рас.!S27</f>
        <v>7203347.9994200002</v>
      </c>
      <c r="BJ57" s="171">
        <f t="shared" si="214"/>
        <v>0</v>
      </c>
    </row>
    <row r="58" spans="1:63" x14ac:dyDescent="0.25">
      <c r="A58" s="161" t="s">
        <v>172</v>
      </c>
      <c r="BI58" s="163">
        <f>Черн_кон.рас.!S28</f>
        <v>4701694.4807900004</v>
      </c>
      <c r="BJ58" s="171">
        <f t="shared" si="214"/>
        <v>0</v>
      </c>
    </row>
    <row r="59" spans="1:63" x14ac:dyDescent="0.25">
      <c r="A59" s="161" t="s">
        <v>173</v>
      </c>
      <c r="BI59" s="163">
        <f>Черн_кон.рас.!S29</f>
        <v>2454079.9701899998</v>
      </c>
      <c r="BJ59" s="171">
        <f t="shared" si="214"/>
        <v>0</v>
      </c>
    </row>
    <row r="60" spans="1:63" x14ac:dyDescent="0.25">
      <c r="A60" s="161" t="s">
        <v>174</v>
      </c>
      <c r="BI60" s="163">
        <f>Черн_кон.рас.!S30</f>
        <v>1016079.75294</v>
      </c>
      <c r="BJ60" s="171">
        <f t="shared" si="214"/>
        <v>0</v>
      </c>
    </row>
    <row r="61" spans="1:63" x14ac:dyDescent="0.25">
      <c r="A61" s="161" t="s">
        <v>175</v>
      </c>
      <c r="BI61" s="163">
        <f>Черн_кон.рас.!S31</f>
        <v>720048.33267000003</v>
      </c>
      <c r="BJ61" s="171">
        <f t="shared" si="214"/>
        <v>0</v>
      </c>
    </row>
    <row r="62" spans="1:63" x14ac:dyDescent="0.25">
      <c r="A62" s="161" t="s">
        <v>176</v>
      </c>
      <c r="BI62" s="163">
        <f>Черн_кон.рас.!S32</f>
        <v>1236084.01355</v>
      </c>
      <c r="BJ62" s="171">
        <f t="shared" si="214"/>
        <v>0</v>
      </c>
    </row>
    <row r="63" spans="1:63" x14ac:dyDescent="0.25">
      <c r="A63" s="161" t="s">
        <v>177</v>
      </c>
      <c r="BI63" s="163">
        <f>Черн_кон.рас.!S33</f>
        <v>8632.3919499999993</v>
      </c>
      <c r="BJ63" s="171">
        <f t="shared" si="214"/>
        <v>0</v>
      </c>
    </row>
    <row r="64" spans="1:63" x14ac:dyDescent="0.25">
      <c r="BI64" s="317">
        <f>SUM(BI38:BI63)</f>
        <v>34200785.744719997</v>
      </c>
      <c r="BJ64" s="317">
        <f>SUM(BJ38:BJ63)</f>
        <v>0</v>
      </c>
      <c r="BK64" s="317">
        <f>SUM(BK38:BK63)</f>
        <v>0</v>
      </c>
    </row>
    <row r="65" spans="87:279" x14ac:dyDescent="0.25">
      <c r="CI65" s="163"/>
    </row>
    <row r="66" spans="87:279" x14ac:dyDescent="0.25">
      <c r="CI66" s="163">
        <f>CI29-CG29</f>
        <v>5841.5065799999993</v>
      </c>
      <c r="CP66" s="163"/>
      <c r="CR66" s="163"/>
      <c r="CX66" s="163">
        <f>CX27-CT27</f>
        <v>-244890.77059999999</v>
      </c>
      <c r="GB66" s="165"/>
    </row>
    <row r="67" spans="87:279" x14ac:dyDescent="0.25">
      <c r="CS67" s="163"/>
      <c r="FE67" s="163"/>
      <c r="JS67" s="163">
        <f>JS22/JR22%-100</f>
        <v>10.86903860016713</v>
      </c>
    </row>
  </sheetData>
  <autoFilter ref="A7:KA64"/>
  <mergeCells count="172">
    <mergeCell ref="EU5:EU6"/>
    <mergeCell ref="EO5:EO6"/>
    <mergeCell ref="FA5:FA6"/>
    <mergeCell ref="FL5:FM5"/>
    <mergeCell ref="IT5:IU5"/>
    <mergeCell ref="FB4:FG4"/>
    <mergeCell ref="FB5:FC5"/>
    <mergeCell ref="FD5:FE5"/>
    <mergeCell ref="FF5:FF6"/>
    <mergeCell ref="FG5:FG6"/>
    <mergeCell ref="EV5:EW5"/>
    <mergeCell ref="EX5:EY5"/>
    <mergeCell ref="EZ5:EZ6"/>
    <mergeCell ref="FH4:FM4"/>
    <mergeCell ref="FH5:FI5"/>
    <mergeCell ref="FJ5:FK5"/>
    <mergeCell ref="FN4:FS4"/>
    <mergeCell ref="EP4:EU4"/>
    <mergeCell ref="EJ4:EO4"/>
    <mergeCell ref="EV4:FA4"/>
    <mergeCell ref="FT4:FY4"/>
    <mergeCell ref="GX4:HC4"/>
    <mergeCell ref="GR4:GW4"/>
    <mergeCell ref="GZ5:HA5"/>
    <mergeCell ref="KE5:KF5"/>
    <mergeCell ref="GT5:GU5"/>
    <mergeCell ref="GL5:GM5"/>
    <mergeCell ref="GN5:GO5"/>
    <mergeCell ref="GV5:GW5"/>
    <mergeCell ref="EJ5:EK5"/>
    <mergeCell ref="EL5:EM5"/>
    <mergeCell ref="EN5:EN6"/>
    <mergeCell ref="FX5:FY5"/>
    <mergeCell ref="FZ5:GA5"/>
    <mergeCell ref="GB5:GC5"/>
    <mergeCell ref="GR5:GS5"/>
    <mergeCell ref="FR5:FS5"/>
    <mergeCell ref="ID5:IE5"/>
    <mergeCell ref="IF5:IG5"/>
    <mergeCell ref="FN5:FO5"/>
    <mergeCell ref="FP5:FQ5"/>
    <mergeCell ref="ER5:ES5"/>
    <mergeCell ref="ET5:ET6"/>
    <mergeCell ref="FT5:FU5"/>
    <mergeCell ref="FV5:FW5"/>
    <mergeCell ref="HP5:HQ5"/>
    <mergeCell ref="HH5:HI5"/>
    <mergeCell ref="GP5:GQ5"/>
    <mergeCell ref="DY4:EI4"/>
    <mergeCell ref="CW5:CX5"/>
    <mergeCell ref="DL5:DP5"/>
    <mergeCell ref="DJ4:DJ6"/>
    <mergeCell ref="DK4:DK6"/>
    <mergeCell ref="DI4:DI6"/>
    <mergeCell ref="CZ5:CZ6"/>
    <mergeCell ref="CY5:CY6"/>
    <mergeCell ref="DB5:DB6"/>
    <mergeCell ref="EE5:EF5"/>
    <mergeCell ref="DY5:DZ5"/>
    <mergeCell ref="DQ5:DU5"/>
    <mergeCell ref="DL4:DU4"/>
    <mergeCell ref="DV4:DX5"/>
    <mergeCell ref="CT4:CZ4"/>
    <mergeCell ref="DC4:DD6"/>
    <mergeCell ref="DE4:DF4"/>
    <mergeCell ref="HB5:HC5"/>
    <mergeCell ref="HJ4:HO4"/>
    <mergeCell ref="HJ5:HK5"/>
    <mergeCell ref="HL5:HM5"/>
    <mergeCell ref="HN5:HO5"/>
    <mergeCell ref="FZ4:GE4"/>
    <mergeCell ref="HD4:HI4"/>
    <mergeCell ref="HD5:HE5"/>
    <mergeCell ref="HF5:HG5"/>
    <mergeCell ref="GL4:GQ4"/>
    <mergeCell ref="GD5:GE5"/>
    <mergeCell ref="GF5:GG5"/>
    <mergeCell ref="GH5:GI5"/>
    <mergeCell ref="GJ5:GK5"/>
    <mergeCell ref="GF4:GK4"/>
    <mergeCell ref="BS5:BX5"/>
    <mergeCell ref="CQ5:CQ6"/>
    <mergeCell ref="CU5:CV5"/>
    <mergeCell ref="BZ5:CA5"/>
    <mergeCell ref="DA4:DA6"/>
    <mergeCell ref="DH5:DH6"/>
    <mergeCell ref="CB5:CC5"/>
    <mergeCell ref="CD5:CD6"/>
    <mergeCell ref="CF5:CG5"/>
    <mergeCell ref="CH5:CI5"/>
    <mergeCell ref="CJ5:CJ6"/>
    <mergeCell ref="CK5:CL5"/>
    <mergeCell ref="DG4:DG6"/>
    <mergeCell ref="CF4:CJ4"/>
    <mergeCell ref="CT5:CT6"/>
    <mergeCell ref="DE5:DF6"/>
    <mergeCell ref="CM5:CN5"/>
    <mergeCell ref="CR5:CR6"/>
    <mergeCell ref="CO5:CP5"/>
    <mergeCell ref="CK4:CS4"/>
    <mergeCell ref="CS5:CS6"/>
    <mergeCell ref="AM5:AM6"/>
    <mergeCell ref="AX5:BC5"/>
    <mergeCell ref="BD5:BI5"/>
    <mergeCell ref="BJ5:BJ6"/>
    <mergeCell ref="AK4:AM4"/>
    <mergeCell ref="AE5:AE6"/>
    <mergeCell ref="AL5:AL6"/>
    <mergeCell ref="BY4:CE4"/>
    <mergeCell ref="CE5:CE6"/>
    <mergeCell ref="AX4:BI4"/>
    <mergeCell ref="BJ4:BL4"/>
    <mergeCell ref="AK5:AK6"/>
    <mergeCell ref="BK5:BK6"/>
    <mergeCell ref="AN4:AW4"/>
    <mergeCell ref="AN5:AR5"/>
    <mergeCell ref="AS5:AW5"/>
    <mergeCell ref="BL5:BL6"/>
    <mergeCell ref="BM5:BR5"/>
    <mergeCell ref="BY5:BY6"/>
    <mergeCell ref="AG4:AJ4"/>
    <mergeCell ref="AG5:AG6"/>
    <mergeCell ref="BM4:BX4"/>
    <mergeCell ref="AH5:AH6"/>
    <mergeCell ref="AI5:AI6"/>
    <mergeCell ref="AJ5:AJ6"/>
    <mergeCell ref="Y5:AC5"/>
    <mergeCell ref="A4:A6"/>
    <mergeCell ref="B4:K4"/>
    <mergeCell ref="L4:S4"/>
    <mergeCell ref="T4:AC4"/>
    <mergeCell ref="AD4:AF4"/>
    <mergeCell ref="AF5:AF6"/>
    <mergeCell ref="B5:F5"/>
    <mergeCell ref="G5:K5"/>
    <mergeCell ref="L5:O5"/>
    <mergeCell ref="P5:S5"/>
    <mergeCell ref="T5:X5"/>
    <mergeCell ref="AD5:AD6"/>
    <mergeCell ref="JL4:JN4"/>
    <mergeCell ref="JO4:JQ4"/>
    <mergeCell ref="KC5:KD5"/>
    <mergeCell ref="KA5:KB5"/>
    <mergeCell ref="KA4:KF4"/>
    <mergeCell ref="GX5:GY5"/>
    <mergeCell ref="HR5:HS5"/>
    <mergeCell ref="HT5:HU5"/>
    <mergeCell ref="HP4:HU4"/>
    <mergeCell ref="JR4:JT4"/>
    <mergeCell ref="JF4:JH4"/>
    <mergeCell ref="JI4:JK4"/>
    <mergeCell ref="HV4:IA4"/>
    <mergeCell ref="HV5:HW5"/>
    <mergeCell ref="HX5:HY5"/>
    <mergeCell ref="HZ5:IA5"/>
    <mergeCell ref="JC4:JE4"/>
    <mergeCell ref="IB4:IG4"/>
    <mergeCell ref="IB5:IC5"/>
    <mergeCell ref="JU4:JW4"/>
    <mergeCell ref="IX5:IY5"/>
    <mergeCell ref="IT4:IY4"/>
    <mergeCell ref="IV5:IW5"/>
    <mergeCell ref="JX4:JZ4"/>
    <mergeCell ref="IH5:II5"/>
    <mergeCell ref="IJ5:IK5"/>
    <mergeCell ref="IL5:IM5"/>
    <mergeCell ref="IH4:IM4"/>
    <mergeCell ref="IN4:IS4"/>
    <mergeCell ref="IN5:IO5"/>
    <mergeCell ref="IP5:IQ5"/>
    <mergeCell ref="IR5:IS5"/>
    <mergeCell ref="IZ4:JB4"/>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2"/>
  <sheetViews>
    <sheetView workbookViewId="0">
      <selection activeCell="I65" sqref="I65"/>
    </sheetView>
  </sheetViews>
  <sheetFormatPr defaultColWidth="9.109375" defaultRowHeight="13.2" x14ac:dyDescent="0.25"/>
  <cols>
    <col min="1" max="1" width="5.33203125" style="371" bestFit="1" customWidth="1"/>
    <col min="2" max="2" width="4.109375" style="369" bestFit="1" customWidth="1"/>
    <col min="3" max="3" width="27.109375" style="369" customWidth="1"/>
    <col min="4" max="4" width="10.6640625" style="371" bestFit="1" customWidth="1"/>
    <col min="5" max="5" width="11.33203125" style="371" bestFit="1" customWidth="1"/>
    <col min="6" max="11" width="9.109375" style="371"/>
    <col min="12" max="12" width="4" style="371" bestFit="1" customWidth="1"/>
    <col min="13" max="13" width="2.6640625" style="371" bestFit="1" customWidth="1"/>
    <col min="14" max="14" width="37.5546875" style="371" customWidth="1"/>
    <col min="15" max="18" width="9.109375" style="371"/>
    <col min="19" max="19" width="9.5546875" style="371" bestFit="1" customWidth="1"/>
    <col min="20" max="20" width="9.109375" style="371"/>
    <col min="21" max="21" width="10.33203125" style="371" bestFit="1" customWidth="1"/>
    <col min="22" max="22" width="44.88671875" style="371" customWidth="1"/>
    <col min="23" max="16384" width="9.109375" style="371"/>
  </cols>
  <sheetData>
    <row r="1" spans="1:30" s="369" customFormat="1" ht="31.8" thickBot="1" x14ac:dyDescent="0.3">
      <c r="C1" s="395" t="s">
        <v>443</v>
      </c>
      <c r="L1" s="371"/>
      <c r="M1" s="371"/>
      <c r="N1" s="371"/>
      <c r="O1" s="371"/>
      <c r="P1" s="371"/>
      <c r="Q1" s="371"/>
      <c r="R1" s="371"/>
      <c r="S1" s="371"/>
      <c r="T1" s="371"/>
      <c r="V1" s="463" t="s">
        <v>575</v>
      </c>
      <c r="W1" s="371"/>
      <c r="X1" s="371"/>
      <c r="Y1" s="371"/>
      <c r="Z1" s="371"/>
      <c r="AA1" s="371"/>
      <c r="AB1" s="371"/>
      <c r="AC1" s="371"/>
      <c r="AD1" s="371"/>
    </row>
    <row r="2" spans="1:30" s="370" customFormat="1" ht="40.200000000000003" thickTop="1" x14ac:dyDescent="0.25">
      <c r="B2" s="372" t="s">
        <v>439</v>
      </c>
      <c r="C2" s="373" t="s">
        <v>311</v>
      </c>
      <c r="D2" s="373" t="s">
        <v>544</v>
      </c>
      <c r="E2" s="373" t="s">
        <v>671</v>
      </c>
      <c r="F2" s="374" t="s">
        <v>522</v>
      </c>
      <c r="L2" s="371"/>
      <c r="M2" s="371"/>
      <c r="N2" s="371"/>
      <c r="O2" s="371"/>
      <c r="P2" s="371"/>
      <c r="Q2" s="371"/>
      <c r="R2" s="371"/>
      <c r="S2" s="371"/>
      <c r="T2" s="371"/>
      <c r="V2" s="475" t="s">
        <v>311</v>
      </c>
      <c r="W2" s="475" t="s">
        <v>538</v>
      </c>
      <c r="X2" s="475" t="s">
        <v>672</v>
      </c>
      <c r="Y2" s="476" t="s">
        <v>522</v>
      </c>
      <c r="Z2" s="371"/>
      <c r="AA2" s="371"/>
      <c r="AB2" s="371"/>
      <c r="AC2" s="371"/>
      <c r="AD2" s="371"/>
    </row>
    <row r="3" spans="1:30" x14ac:dyDescent="0.25">
      <c r="B3" s="375" t="s">
        <v>433</v>
      </c>
      <c r="C3" s="376" t="s">
        <v>436</v>
      </c>
      <c r="D3" s="377">
        <v>1.43248255</v>
      </c>
      <c r="E3" s="377">
        <v>1.2580689999999999E-2</v>
      </c>
      <c r="F3" s="378">
        <f>E3-D3</f>
        <v>-1.41990186</v>
      </c>
      <c r="V3" s="371" t="s">
        <v>574</v>
      </c>
      <c r="W3" s="371">
        <f>'6_Дебитор_МО'!B35/1000</f>
        <v>90767.607616549998</v>
      </c>
      <c r="X3" s="371">
        <f>'6_Дебитор_МО'!E35/1000</f>
        <v>123150.94574005</v>
      </c>
      <c r="Y3" s="371">
        <f>X3-W3</f>
        <v>32383.338123499998</v>
      </c>
    </row>
    <row r="4" spans="1:30" ht="26.4" x14ac:dyDescent="0.25">
      <c r="B4" s="375" t="s">
        <v>434</v>
      </c>
      <c r="C4" s="376" t="s">
        <v>437</v>
      </c>
      <c r="D4" s="377">
        <v>3.5031100000000003E-2</v>
      </c>
      <c r="E4" s="377">
        <v>3.1751100000000004E-2</v>
      </c>
      <c r="F4" s="378">
        <f t="shared" ref="F4:F7" si="0">E4-D4</f>
        <v>-3.2799999999999982E-3</v>
      </c>
      <c r="V4" s="371" t="s">
        <v>576</v>
      </c>
      <c r="W4" s="371">
        <v>86160.678592750002</v>
      </c>
      <c r="X4" s="371">
        <v>118324.11811179</v>
      </c>
      <c r="Y4" s="371">
        <f t="shared" ref="Y4:Y7" si="1">X4-W4</f>
        <v>32163.439519039996</v>
      </c>
      <c r="Z4" s="371">
        <f>X4/W4%-100</f>
        <v>37.329603299742814</v>
      </c>
    </row>
    <row r="5" spans="1:30" ht="26.4" x14ac:dyDescent="0.25">
      <c r="B5" s="375">
        <v>209</v>
      </c>
      <c r="C5" s="376" t="s">
        <v>554</v>
      </c>
      <c r="D5" s="377">
        <v>4.8117310000000003E-2</v>
      </c>
      <c r="E5" s="377"/>
      <c r="F5" s="378">
        <f t="shared" si="0"/>
        <v>-4.8117310000000003E-2</v>
      </c>
      <c r="V5" s="371" t="s">
        <v>577</v>
      </c>
      <c r="W5" s="371">
        <f>W3-W4</f>
        <v>4606.9290237999958</v>
      </c>
      <c r="X5" s="371">
        <f>X3-X4</f>
        <v>4826.8276282599982</v>
      </c>
      <c r="Y5" s="371">
        <f t="shared" si="1"/>
        <v>219.89860446000239</v>
      </c>
    </row>
    <row r="6" spans="1:30" ht="26.4" x14ac:dyDescent="0.25">
      <c r="B6" s="375" t="s">
        <v>435</v>
      </c>
      <c r="C6" s="376" t="s">
        <v>438</v>
      </c>
      <c r="D6" s="377">
        <v>49.402380999999998</v>
      </c>
      <c r="E6" s="377">
        <v>27.724838809999998</v>
      </c>
      <c r="F6" s="378">
        <f t="shared" si="0"/>
        <v>-21.67754219</v>
      </c>
      <c r="G6" s="371">
        <f>D6/D8%</f>
        <v>96.913045879229401</v>
      </c>
      <c r="H6" s="371">
        <f>E6/E8%</f>
        <v>99.840356088993161</v>
      </c>
      <c r="V6" s="371" t="s">
        <v>578</v>
      </c>
      <c r="W6" s="371">
        <f>'6_Дебитор_МО'!C35/1000</f>
        <v>1627.73407544</v>
      </c>
      <c r="X6" s="371">
        <f>'6_Дебитор_МО'!F35/1000</f>
        <v>1027.70492203</v>
      </c>
      <c r="Y6" s="371">
        <f t="shared" si="1"/>
        <v>-600.02915340999994</v>
      </c>
    </row>
    <row r="7" spans="1:30" ht="26.4" x14ac:dyDescent="0.25">
      <c r="B7" s="375">
        <v>303</v>
      </c>
      <c r="C7" s="376" t="s">
        <v>440</v>
      </c>
      <c r="D7" s="377">
        <v>5.7974350000000001E-2</v>
      </c>
      <c r="E7" s="377"/>
      <c r="F7" s="378">
        <f t="shared" si="0"/>
        <v>-5.7974350000000001E-2</v>
      </c>
      <c r="V7" s="371" t="s">
        <v>349</v>
      </c>
      <c r="W7" s="371">
        <f>W6/W5%</f>
        <v>35.332301996208614</v>
      </c>
      <c r="X7" s="371">
        <f>X6/X5%</f>
        <v>21.291519009566802</v>
      </c>
      <c r="Y7" s="371">
        <f t="shared" si="1"/>
        <v>-14.040782986641812</v>
      </c>
    </row>
    <row r="8" spans="1:30" ht="13.8" thickBot="1" x14ac:dyDescent="0.3">
      <c r="B8" s="1202" t="s">
        <v>318</v>
      </c>
      <c r="C8" s="1203"/>
      <c r="D8" s="379">
        <f>SUM(D3:D7)</f>
        <v>50.975986310000003</v>
      </c>
      <c r="E8" s="379">
        <f>SUM(E3:E7)</f>
        <v>27.769170599999999</v>
      </c>
      <c r="F8" s="380">
        <f>SUM(F3:F7)</f>
        <v>-23.206815709999997</v>
      </c>
    </row>
    <row r="9" spans="1:30" ht="13.8" thickTop="1" x14ac:dyDescent="0.25">
      <c r="D9" s="371">
        <f>D8-Черн.!IU34/1000</f>
        <v>0</v>
      </c>
      <c r="E9" s="371">
        <f>E8-Черн.!IW34/1000</f>
        <v>0</v>
      </c>
      <c r="F9" s="371">
        <f>F8-Черн.!IY34/1000</f>
        <v>0</v>
      </c>
    </row>
    <row r="10" spans="1:30" ht="47.4" thickBot="1" x14ac:dyDescent="0.3">
      <c r="L10" s="369"/>
      <c r="M10" s="369"/>
      <c r="N10" s="395" t="s">
        <v>469</v>
      </c>
      <c r="O10" s="369"/>
      <c r="P10" s="369"/>
      <c r="Q10" s="369"/>
      <c r="R10" s="369"/>
      <c r="S10" s="369"/>
      <c r="T10" s="369"/>
      <c r="V10" s="395" t="s">
        <v>526</v>
      </c>
      <c r="W10" s="369"/>
      <c r="X10" s="369"/>
      <c r="Y10" s="369"/>
      <c r="Z10" s="369"/>
      <c r="AA10" s="369"/>
    </row>
    <row r="11" spans="1:30" s="381" customFormat="1" ht="32.4" thickTop="1" thickBot="1" x14ac:dyDescent="0.3">
      <c r="C11" s="395" t="s">
        <v>444</v>
      </c>
      <c r="D11" s="371"/>
      <c r="E11" s="371"/>
      <c r="F11" s="371"/>
      <c r="L11" s="1204" t="s">
        <v>439</v>
      </c>
      <c r="M11" s="1205"/>
      <c r="N11" s="447" t="s">
        <v>311</v>
      </c>
      <c r="O11" s="447" t="s">
        <v>544</v>
      </c>
      <c r="P11" s="447" t="s">
        <v>702</v>
      </c>
      <c r="Q11" s="374" t="s">
        <v>522</v>
      </c>
      <c r="R11" s="432" t="s">
        <v>349</v>
      </c>
      <c r="S11" s="432" t="s">
        <v>441</v>
      </c>
      <c r="T11" s="432"/>
      <c r="U11" s="371"/>
      <c r="V11" s="419" t="s">
        <v>311</v>
      </c>
      <c r="W11" s="420" t="s">
        <v>544</v>
      </c>
      <c r="X11" s="420" t="s">
        <v>671</v>
      </c>
      <c r="Y11" s="374" t="s">
        <v>522</v>
      </c>
      <c r="Z11" s="370"/>
      <c r="AA11" s="370"/>
      <c r="AB11" s="371"/>
      <c r="AC11" s="371"/>
      <c r="AD11" s="371"/>
    </row>
    <row r="12" spans="1:30" ht="27" thickTop="1" x14ac:dyDescent="0.25">
      <c r="A12" s="1200" t="s">
        <v>439</v>
      </c>
      <c r="B12" s="1201"/>
      <c r="C12" s="446" t="s">
        <v>311</v>
      </c>
      <c r="D12" s="447" t="s">
        <v>544</v>
      </c>
      <c r="E12" s="447" t="s">
        <v>671</v>
      </c>
      <c r="F12" s="374" t="s">
        <v>522</v>
      </c>
      <c r="G12" s="382"/>
      <c r="H12" s="382"/>
      <c r="L12" s="460" t="s">
        <v>435</v>
      </c>
      <c r="M12" s="461" t="s">
        <v>193</v>
      </c>
      <c r="N12" s="461" t="s">
        <v>509</v>
      </c>
      <c r="O12" s="462">
        <v>9.9999999999999995E-7</v>
      </c>
      <c r="P12" s="462">
        <v>9.9999999999999995E-7</v>
      </c>
      <c r="Q12" s="477">
        <f t="shared" ref="Q12:Q30" si="2">P12-O12</f>
        <v>0</v>
      </c>
      <c r="R12" s="390">
        <f t="shared" ref="R12:R16" si="3">P12/$P$31%</f>
        <v>3.6068739906949889E-6</v>
      </c>
      <c r="S12" s="390">
        <f>P12/O12%-100</f>
        <v>0</v>
      </c>
      <c r="T12" s="390"/>
      <c r="V12" s="383" t="s">
        <v>605</v>
      </c>
      <c r="W12" s="385">
        <v>1511.88477457</v>
      </c>
      <c r="X12" s="385">
        <v>876.89594164999994</v>
      </c>
      <c r="Y12" s="386">
        <f>X12-W12</f>
        <v>-634.98883292000005</v>
      </c>
    </row>
    <row r="13" spans="1:30" ht="39.6" x14ac:dyDescent="0.25">
      <c r="A13" s="383" t="s">
        <v>433</v>
      </c>
      <c r="B13" s="384" t="s">
        <v>442</v>
      </c>
      <c r="C13" s="384" t="s">
        <v>530</v>
      </c>
      <c r="D13" s="385"/>
      <c r="E13" s="385"/>
      <c r="F13" s="386">
        <f>E13-D13</f>
        <v>0</v>
      </c>
      <c r="G13" s="371" t="e">
        <f>E14/D14%-100</f>
        <v>#DIV/0!</v>
      </c>
      <c r="L13" s="448" t="s">
        <v>435</v>
      </c>
      <c r="M13" s="376" t="s">
        <v>470</v>
      </c>
      <c r="N13" s="376" t="s">
        <v>481</v>
      </c>
      <c r="O13" s="377">
        <v>0.13117387</v>
      </c>
      <c r="P13" s="377">
        <v>3.3390200000000003E-3</v>
      </c>
      <c r="Q13" s="477">
        <f t="shared" si="2"/>
        <v>-0.12783485</v>
      </c>
      <c r="R13" s="390">
        <f t="shared" si="3"/>
        <v>1.2043424392410384E-2</v>
      </c>
      <c r="S13" s="390">
        <f t="shared" ref="S13:S30" si="4">P13/O13%-100</f>
        <v>-97.45450827973589</v>
      </c>
      <c r="T13" s="390"/>
      <c r="V13" s="387" t="s">
        <v>572</v>
      </c>
      <c r="W13" s="377">
        <v>676.39465595000001</v>
      </c>
      <c r="X13" s="377">
        <v>263.21042051000001</v>
      </c>
      <c r="Y13" s="378">
        <f t="shared" ref="Y13:Y17" si="5">X13-W13</f>
        <v>-413.18423544000001</v>
      </c>
      <c r="Z13" s="371">
        <f>X13/W13%-100</f>
        <v>-61.086265511616212</v>
      </c>
    </row>
    <row r="14" spans="1:30" ht="26.4" x14ac:dyDescent="0.25">
      <c r="A14" s="387" t="s">
        <v>433</v>
      </c>
      <c r="B14" s="376" t="s">
        <v>193</v>
      </c>
      <c r="C14" s="376" t="s">
        <v>445</v>
      </c>
      <c r="D14" s="377"/>
      <c r="E14" s="377"/>
      <c r="F14" s="378">
        <f>E14-D14</f>
        <v>0</v>
      </c>
      <c r="G14" s="382"/>
      <c r="H14" s="382"/>
      <c r="L14" s="448" t="s">
        <v>435</v>
      </c>
      <c r="M14" s="376" t="s">
        <v>471</v>
      </c>
      <c r="N14" s="376" t="s">
        <v>482</v>
      </c>
      <c r="O14" s="377">
        <v>3.2000000000000002E-3</v>
      </c>
      <c r="P14" s="377">
        <v>3.2000000000000002E-3</v>
      </c>
      <c r="Q14" s="477">
        <f t="shared" si="2"/>
        <v>0</v>
      </c>
      <c r="R14" s="390">
        <f t="shared" si="3"/>
        <v>1.1541996770223965E-2</v>
      </c>
      <c r="S14" s="390">
        <f t="shared" si="4"/>
        <v>0</v>
      </c>
      <c r="T14" s="390"/>
      <c r="V14" s="387" t="s">
        <v>695</v>
      </c>
      <c r="W14" s="377">
        <v>60.318584170000001</v>
      </c>
      <c r="X14" s="377">
        <v>51.14609102</v>
      </c>
      <c r="Y14" s="378">
        <f t="shared" si="5"/>
        <v>-9.1724931500000011</v>
      </c>
    </row>
    <row r="15" spans="1:30" ht="26.4" x14ac:dyDescent="0.25">
      <c r="A15" s="383" t="s">
        <v>434</v>
      </c>
      <c r="B15" s="384" t="s">
        <v>442</v>
      </c>
      <c r="C15" s="384" t="s">
        <v>531</v>
      </c>
      <c r="D15" s="385"/>
      <c r="E15" s="385"/>
      <c r="F15" s="386">
        <f>E15-D15</f>
        <v>0</v>
      </c>
      <c r="L15" s="448" t="s">
        <v>435</v>
      </c>
      <c r="M15" s="376" t="s">
        <v>472</v>
      </c>
      <c r="N15" s="376" t="s">
        <v>483</v>
      </c>
      <c r="O15" s="377">
        <v>0.15023507999999999</v>
      </c>
      <c r="P15" s="377">
        <v>0.24204387999999999</v>
      </c>
      <c r="Q15" s="477">
        <f t="shared" si="2"/>
        <v>9.1808799999999996E-2</v>
      </c>
      <c r="R15" s="390">
        <f t="shared" si="3"/>
        <v>0.87302177537889902</v>
      </c>
      <c r="S15" s="390">
        <f t="shared" si="4"/>
        <v>61.110094925898778</v>
      </c>
      <c r="T15" s="390"/>
      <c r="V15" s="387" t="s">
        <v>523</v>
      </c>
      <c r="W15" s="377">
        <v>202.79926193</v>
      </c>
      <c r="X15" s="377">
        <v>33.17840219</v>
      </c>
      <c r="Y15" s="378">
        <f t="shared" si="5"/>
        <v>-169.62085974000001</v>
      </c>
    </row>
    <row r="16" spans="1:30" ht="52.8" x14ac:dyDescent="0.25">
      <c r="A16" s="387" t="s">
        <v>434</v>
      </c>
      <c r="B16" s="376" t="s">
        <v>194</v>
      </c>
      <c r="C16" s="376" t="s">
        <v>507</v>
      </c>
      <c r="D16" s="377"/>
      <c r="E16" s="377"/>
      <c r="F16" s="378">
        <f t="shared" ref="F16:F18" si="6">E16-D16</f>
        <v>0</v>
      </c>
      <c r="L16" s="448" t="s">
        <v>435</v>
      </c>
      <c r="M16" s="376" t="s">
        <v>473</v>
      </c>
      <c r="N16" s="376" t="s">
        <v>484</v>
      </c>
      <c r="O16" s="377">
        <v>5.0000000000000004E-6</v>
      </c>
      <c r="P16" s="377">
        <v>5.0000000000000004E-6</v>
      </c>
      <c r="Q16" s="477">
        <f t="shared" si="2"/>
        <v>0</v>
      </c>
      <c r="R16" s="390">
        <f t="shared" si="3"/>
        <v>1.8034369953474946E-5</v>
      </c>
      <c r="S16" s="390">
        <f t="shared" si="4"/>
        <v>0</v>
      </c>
      <c r="T16" s="390"/>
      <c r="V16" s="422" t="s">
        <v>543</v>
      </c>
      <c r="W16" s="423">
        <v>27.394909859999999</v>
      </c>
      <c r="X16" s="423">
        <v>11.88985707</v>
      </c>
      <c r="Y16" s="378">
        <f t="shared" si="5"/>
        <v>-15.505052789999999</v>
      </c>
      <c r="AD16" s="369"/>
    </row>
    <row r="17" spans="1:30" ht="53.4" thickBot="1" x14ac:dyDescent="0.3">
      <c r="A17" s="387" t="s">
        <v>434</v>
      </c>
      <c r="B17" s="376" t="s">
        <v>202</v>
      </c>
      <c r="C17" s="376" t="s">
        <v>508</v>
      </c>
      <c r="D17" s="377"/>
      <c r="E17" s="377"/>
      <c r="F17" s="378">
        <f t="shared" si="6"/>
        <v>0</v>
      </c>
      <c r="L17" s="448" t="s">
        <v>435</v>
      </c>
      <c r="M17" s="376" t="s">
        <v>446</v>
      </c>
      <c r="N17" s="376" t="s">
        <v>447</v>
      </c>
      <c r="O17" s="377">
        <v>23.40890688</v>
      </c>
      <c r="P17" s="377">
        <v>9.9624067399999987</v>
      </c>
      <c r="Q17" s="477">
        <f t="shared" si="2"/>
        <v>-13.446500140000001</v>
      </c>
      <c r="R17" s="390">
        <f>P17/$P$31%</f>
        <v>35.933145755230449</v>
      </c>
      <c r="S17" s="390">
        <f t="shared" si="4"/>
        <v>-57.441811396534554</v>
      </c>
      <c r="T17" s="390"/>
      <c r="V17" s="388" t="s">
        <v>524</v>
      </c>
      <c r="W17" s="424">
        <v>543.47417564</v>
      </c>
      <c r="X17" s="424">
        <v>516.03188728999999</v>
      </c>
      <c r="Y17" s="425">
        <f t="shared" si="5"/>
        <v>-27.442288350000013</v>
      </c>
      <c r="Z17" s="371">
        <f>X17/W17%-100</f>
        <v>-5.0494190119859468</v>
      </c>
      <c r="AD17" s="370"/>
    </row>
    <row r="18" spans="1:30" ht="40.200000000000003" thickTop="1" x14ac:dyDescent="0.25">
      <c r="A18" s="387" t="s">
        <v>434</v>
      </c>
      <c r="B18" s="376" t="s">
        <v>475</v>
      </c>
      <c r="C18" s="376" t="s">
        <v>545</v>
      </c>
      <c r="D18" s="377"/>
      <c r="E18" s="377"/>
      <c r="F18" s="378">
        <f t="shared" si="6"/>
        <v>0</v>
      </c>
      <c r="L18" s="448" t="s">
        <v>435</v>
      </c>
      <c r="M18" s="376" t="s">
        <v>474</v>
      </c>
      <c r="N18" s="376" t="s">
        <v>485</v>
      </c>
      <c r="O18" s="377">
        <v>5.7653641499999999</v>
      </c>
      <c r="P18" s="377">
        <v>0.43506135999999995</v>
      </c>
      <c r="Q18" s="477">
        <f t="shared" si="2"/>
        <v>-5.3303027900000002</v>
      </c>
      <c r="R18" s="390">
        <f t="shared" ref="R18:R30" si="7">P18/$P$31%</f>
        <v>1.5692115037403891</v>
      </c>
      <c r="S18" s="390">
        <f t="shared" si="4"/>
        <v>-92.453878910666901</v>
      </c>
      <c r="T18" s="390"/>
    </row>
    <row r="19" spans="1:30" ht="39.6" x14ac:dyDescent="0.25">
      <c r="A19" s="387" t="s">
        <v>435</v>
      </c>
      <c r="B19" s="384" t="s">
        <v>442</v>
      </c>
      <c r="C19" s="384" t="s">
        <v>532</v>
      </c>
      <c r="D19" s="385"/>
      <c r="E19" s="385"/>
      <c r="F19" s="386">
        <f>E19-D19</f>
        <v>0</v>
      </c>
      <c r="L19" s="448" t="s">
        <v>452</v>
      </c>
      <c r="M19" s="376">
        <v>28</v>
      </c>
      <c r="N19" s="376" t="s">
        <v>608</v>
      </c>
      <c r="O19" s="377"/>
      <c r="P19" s="377"/>
      <c r="Q19" s="477">
        <f t="shared" si="2"/>
        <v>0</v>
      </c>
      <c r="R19" s="390">
        <f t="shared" si="7"/>
        <v>0</v>
      </c>
      <c r="S19" s="390" t="e">
        <f t="shared" si="4"/>
        <v>#DIV/0!</v>
      </c>
      <c r="T19" s="390"/>
    </row>
    <row r="20" spans="1:30" ht="47.4" thickBot="1" x14ac:dyDescent="0.3">
      <c r="A20" s="383" t="s">
        <v>435</v>
      </c>
      <c r="B20" s="376" t="s">
        <v>193</v>
      </c>
      <c r="C20" s="376" t="s">
        <v>509</v>
      </c>
      <c r="D20" s="377"/>
      <c r="E20" s="377"/>
      <c r="F20" s="378">
        <f>E20-D20</f>
        <v>0</v>
      </c>
      <c r="G20" s="382"/>
      <c r="H20" s="382"/>
      <c r="L20" s="448" t="s">
        <v>435</v>
      </c>
      <c r="M20" s="376" t="s">
        <v>448</v>
      </c>
      <c r="N20" s="376" t="s">
        <v>449</v>
      </c>
      <c r="O20" s="377">
        <v>0.38873173999999999</v>
      </c>
      <c r="P20" s="377">
        <v>0.34921649000000005</v>
      </c>
      <c r="Q20" s="477">
        <f t="shared" si="2"/>
        <v>-3.9515249999999946E-2</v>
      </c>
      <c r="R20" s="390">
        <f t="shared" si="7"/>
        <v>1.2595798749027969</v>
      </c>
      <c r="S20" s="390">
        <f t="shared" si="4"/>
        <v>-10.16517200267721</v>
      </c>
      <c r="T20" s="390"/>
      <c r="V20" s="426" t="s">
        <v>528</v>
      </c>
      <c r="Z20" s="381"/>
      <c r="AA20" s="381"/>
    </row>
    <row r="21" spans="1:30" ht="27" thickTop="1" x14ac:dyDescent="0.25">
      <c r="A21" s="387" t="s">
        <v>435</v>
      </c>
      <c r="B21" s="376" t="s">
        <v>472</v>
      </c>
      <c r="C21" s="376" t="s">
        <v>483</v>
      </c>
      <c r="D21" s="377"/>
      <c r="E21" s="377"/>
      <c r="F21" s="378">
        <f>E21-D21</f>
        <v>0</v>
      </c>
      <c r="L21" s="387" t="s">
        <v>435</v>
      </c>
      <c r="M21" s="377" t="s">
        <v>475</v>
      </c>
      <c r="N21" s="377" t="s">
        <v>486</v>
      </c>
      <c r="O21" s="377">
        <v>0.11067418999999999</v>
      </c>
      <c r="P21" s="377"/>
      <c r="Q21" s="477">
        <f t="shared" si="2"/>
        <v>-0.11067418999999999</v>
      </c>
      <c r="R21" s="390">
        <f t="shared" si="7"/>
        <v>0</v>
      </c>
      <c r="S21" s="390">
        <f t="shared" si="4"/>
        <v>-100</v>
      </c>
      <c r="T21" s="390"/>
      <c r="V21" s="419" t="s">
        <v>311</v>
      </c>
      <c r="W21" s="420" t="s">
        <v>544</v>
      </c>
      <c r="X21" s="420" t="s">
        <v>671</v>
      </c>
      <c r="Y21" s="374" t="s">
        <v>522</v>
      </c>
    </row>
    <row r="22" spans="1:30" ht="39.6" x14ac:dyDescent="0.25">
      <c r="A22" s="387" t="s">
        <v>435</v>
      </c>
      <c r="B22" s="376" t="s">
        <v>473</v>
      </c>
      <c r="C22" s="376" t="s">
        <v>484</v>
      </c>
      <c r="D22" s="377"/>
      <c r="E22" s="377"/>
      <c r="F22" s="378">
        <f>E22-D22</f>
        <v>0</v>
      </c>
      <c r="L22" s="387" t="s">
        <v>435</v>
      </c>
      <c r="M22" s="377" t="s">
        <v>450</v>
      </c>
      <c r="N22" s="377" t="s">
        <v>487</v>
      </c>
      <c r="O22" s="377"/>
      <c r="P22" s="377"/>
      <c r="Q22" s="477">
        <f t="shared" si="2"/>
        <v>0</v>
      </c>
      <c r="R22" s="390">
        <f t="shared" si="7"/>
        <v>0</v>
      </c>
      <c r="S22" s="390" t="e">
        <f t="shared" si="4"/>
        <v>#DIV/0!</v>
      </c>
      <c r="T22" s="390"/>
      <c r="V22" s="383" t="s">
        <v>527</v>
      </c>
      <c r="W22" s="385">
        <v>2.8923067799999997</v>
      </c>
      <c r="X22" s="385">
        <v>2.83532012</v>
      </c>
      <c r="Y22" s="386">
        <f>X22-W22</f>
        <v>-5.6986659999999745E-2</v>
      </c>
    </row>
    <row r="23" spans="1:30" ht="66" x14ac:dyDescent="0.25">
      <c r="A23" s="387" t="s">
        <v>435</v>
      </c>
      <c r="B23" s="376" t="s">
        <v>446</v>
      </c>
      <c r="C23" s="376" t="s">
        <v>447</v>
      </c>
      <c r="D23" s="377"/>
      <c r="E23" s="377"/>
      <c r="F23" s="378">
        <f>E23-D23</f>
        <v>0</v>
      </c>
      <c r="L23" s="387" t="s">
        <v>435</v>
      </c>
      <c r="M23" s="377" t="s">
        <v>520</v>
      </c>
      <c r="N23" s="377" t="s">
        <v>521</v>
      </c>
      <c r="O23" s="377"/>
      <c r="P23" s="377"/>
      <c r="Q23" s="477">
        <f t="shared" si="2"/>
        <v>0</v>
      </c>
      <c r="R23" s="390">
        <f t="shared" si="7"/>
        <v>0</v>
      </c>
      <c r="S23" s="390" t="e">
        <f t="shared" si="4"/>
        <v>#DIV/0!</v>
      </c>
      <c r="T23" s="390"/>
      <c r="V23" s="387" t="s">
        <v>696</v>
      </c>
      <c r="W23" s="377">
        <v>2.4080818699999997</v>
      </c>
      <c r="X23" s="377">
        <v>2.4043143500000004</v>
      </c>
      <c r="Y23" s="378">
        <f>X23-W23</f>
        <v>-3.767519999999358E-3</v>
      </c>
    </row>
    <row r="24" spans="1:30" ht="66.599999999999994" thickBot="1" x14ac:dyDescent="0.3">
      <c r="A24" s="387" t="s">
        <v>435</v>
      </c>
      <c r="B24" s="421" t="s">
        <v>474</v>
      </c>
      <c r="C24" s="376" t="s">
        <v>485</v>
      </c>
      <c r="D24" s="377"/>
      <c r="E24" s="377"/>
      <c r="F24" s="378">
        <f t="shared" ref="F24:F31" si="8">E24-D24</f>
        <v>0</v>
      </c>
      <c r="L24" s="387" t="s">
        <v>435</v>
      </c>
      <c r="M24" s="377" t="s">
        <v>476</v>
      </c>
      <c r="N24" s="377" t="s">
        <v>535</v>
      </c>
      <c r="O24" s="377"/>
      <c r="P24" s="377"/>
      <c r="Q24" s="477">
        <f t="shared" si="2"/>
        <v>0</v>
      </c>
      <c r="R24" s="390">
        <f t="shared" si="7"/>
        <v>0</v>
      </c>
      <c r="S24" s="390" t="e">
        <f t="shared" si="4"/>
        <v>#DIV/0!</v>
      </c>
      <c r="T24" s="390"/>
      <c r="V24" s="388" t="s">
        <v>697</v>
      </c>
      <c r="W24" s="424">
        <v>0.48422490999999995</v>
      </c>
      <c r="X24" s="424">
        <v>0.43100577000000001</v>
      </c>
      <c r="Y24" s="425">
        <f>X24-W24</f>
        <v>-5.3219139999999943E-2</v>
      </c>
    </row>
    <row r="25" spans="1:30" ht="53.4" thickTop="1" x14ac:dyDescent="0.25">
      <c r="A25" s="387" t="s">
        <v>435</v>
      </c>
      <c r="B25" s="376" t="s">
        <v>448</v>
      </c>
      <c r="C25" s="376" t="s">
        <v>449</v>
      </c>
      <c r="D25" s="377"/>
      <c r="E25" s="377"/>
      <c r="F25" s="378">
        <f t="shared" si="8"/>
        <v>0</v>
      </c>
      <c r="L25" s="387" t="s">
        <v>435</v>
      </c>
      <c r="M25" s="377" t="s">
        <v>510</v>
      </c>
      <c r="N25" s="377" t="s">
        <v>511</v>
      </c>
      <c r="O25" s="377">
        <v>1.1804465900000001</v>
      </c>
      <c r="P25" s="377">
        <v>0.88255547999999995</v>
      </c>
      <c r="Q25" s="477">
        <f t="shared" si="2"/>
        <v>-0.29789111000000013</v>
      </c>
      <c r="R25" s="390">
        <f t="shared" si="7"/>
        <v>3.1832664061573315</v>
      </c>
      <c r="S25" s="390">
        <f t="shared" si="4"/>
        <v>-25.235458556409569</v>
      </c>
      <c r="T25" s="390"/>
    </row>
    <row r="26" spans="1:30" ht="66.599999999999994" thickBot="1" x14ac:dyDescent="0.3">
      <c r="A26" s="387" t="s">
        <v>435</v>
      </c>
      <c r="B26" s="376" t="s">
        <v>450</v>
      </c>
      <c r="C26" s="376" t="s">
        <v>487</v>
      </c>
      <c r="D26" s="377"/>
      <c r="E26" s="377"/>
      <c r="F26" s="378">
        <f t="shared" si="8"/>
        <v>0</v>
      </c>
      <c r="L26" s="387" t="s">
        <v>435</v>
      </c>
      <c r="M26" s="377" t="s">
        <v>477</v>
      </c>
      <c r="N26" s="377" t="s">
        <v>488</v>
      </c>
      <c r="O26" s="377">
        <v>0</v>
      </c>
      <c r="P26" s="377"/>
      <c r="Q26" s="477">
        <f t="shared" si="2"/>
        <v>0</v>
      </c>
      <c r="R26" s="390">
        <f t="shared" si="7"/>
        <v>0</v>
      </c>
      <c r="S26" s="390" t="e">
        <f t="shared" si="4"/>
        <v>#DIV/0!</v>
      </c>
      <c r="T26" s="390"/>
      <c r="V26" s="426" t="s">
        <v>525</v>
      </c>
      <c r="AD26" s="381"/>
    </row>
    <row r="27" spans="1:30" ht="93" thickTop="1" x14ac:dyDescent="0.25">
      <c r="A27" s="387" t="s">
        <v>435</v>
      </c>
      <c r="B27" s="376" t="s">
        <v>476</v>
      </c>
      <c r="C27" s="376" t="s">
        <v>493</v>
      </c>
      <c r="D27" s="377"/>
      <c r="E27" s="377"/>
      <c r="F27" s="378">
        <f t="shared" si="8"/>
        <v>0</v>
      </c>
      <c r="L27" s="387" t="s">
        <v>435</v>
      </c>
      <c r="M27" s="377" t="s">
        <v>478</v>
      </c>
      <c r="N27" s="377" t="s">
        <v>489</v>
      </c>
      <c r="O27" s="377">
        <v>1.2120100000000001E-3</v>
      </c>
      <c r="P27" s="377"/>
      <c r="Q27" s="477">
        <f t="shared" si="2"/>
        <v>-1.2120100000000001E-3</v>
      </c>
      <c r="R27" s="390">
        <f t="shared" si="7"/>
        <v>0</v>
      </c>
      <c r="S27" s="390">
        <f t="shared" si="4"/>
        <v>-100</v>
      </c>
      <c r="T27" s="390"/>
      <c r="V27" s="500" t="s">
        <v>311</v>
      </c>
      <c r="W27" s="501" t="s">
        <v>544</v>
      </c>
      <c r="X27" s="501" t="s">
        <v>671</v>
      </c>
      <c r="Y27" s="502" t="s">
        <v>522</v>
      </c>
    </row>
    <row r="28" spans="1:30" ht="79.2" x14ac:dyDescent="0.25">
      <c r="A28" s="387" t="s">
        <v>435</v>
      </c>
      <c r="B28" s="376" t="s">
        <v>510</v>
      </c>
      <c r="C28" s="376" t="s">
        <v>511</v>
      </c>
      <c r="D28" s="377"/>
      <c r="E28" s="377"/>
      <c r="F28" s="378">
        <f t="shared" si="8"/>
        <v>0</v>
      </c>
      <c r="L28" s="387" t="s">
        <v>435</v>
      </c>
      <c r="M28" s="377" t="s">
        <v>479</v>
      </c>
      <c r="N28" s="377" t="s">
        <v>490</v>
      </c>
      <c r="O28" s="377">
        <v>0.55947598000000009</v>
      </c>
      <c r="P28" s="377">
        <v>0.80294940999999997</v>
      </c>
      <c r="Q28" s="477">
        <f t="shared" si="2"/>
        <v>0.24347342999999988</v>
      </c>
      <c r="R28" s="390">
        <f t="shared" si="7"/>
        <v>2.8961373427728869</v>
      </c>
      <c r="S28" s="390">
        <f t="shared" si="4"/>
        <v>43.518120295352077</v>
      </c>
      <c r="T28" s="390"/>
      <c r="V28" s="383" t="s">
        <v>571</v>
      </c>
      <c r="W28" s="385">
        <v>45.149663950000004</v>
      </c>
      <c r="X28" s="385">
        <v>47.27349985</v>
      </c>
      <c r="Y28" s="386">
        <f>X28-W28</f>
        <v>2.123835899999996</v>
      </c>
      <c r="AB28" s="369"/>
      <c r="AC28" s="369"/>
    </row>
    <row r="29" spans="1:30" ht="66" x14ac:dyDescent="0.25">
      <c r="A29" s="387" t="s">
        <v>435</v>
      </c>
      <c r="B29" s="376" t="s">
        <v>451</v>
      </c>
      <c r="C29" s="376" t="s">
        <v>491</v>
      </c>
      <c r="D29" s="377"/>
      <c r="E29" s="377"/>
      <c r="F29" s="378">
        <f t="shared" si="8"/>
        <v>0</v>
      </c>
      <c r="L29" s="410" t="s">
        <v>435</v>
      </c>
      <c r="M29" s="411" t="s">
        <v>451</v>
      </c>
      <c r="N29" s="411" t="s">
        <v>491</v>
      </c>
      <c r="O29" s="377">
        <v>9.1284032499999999</v>
      </c>
      <c r="P29" s="377">
        <v>9.0335652699999986</v>
      </c>
      <c r="Q29" s="477">
        <f t="shared" si="2"/>
        <v>-9.483798000000121E-2</v>
      </c>
      <c r="R29" s="390">
        <f t="shared" si="7"/>
        <v>32.582931615608551</v>
      </c>
      <c r="S29" s="390">
        <f t="shared" si="4"/>
        <v>-1.0389328495101466</v>
      </c>
      <c r="T29" s="390"/>
      <c r="V29" s="387" t="s">
        <v>691</v>
      </c>
      <c r="W29" s="377">
        <v>2.7558530699999997</v>
      </c>
      <c r="X29" s="377">
        <v>1.71053374</v>
      </c>
      <c r="Y29" s="378">
        <f>X29-W29</f>
        <v>-1.0453193299999997</v>
      </c>
      <c r="AB29" s="370"/>
      <c r="AC29" s="370"/>
    </row>
    <row r="30" spans="1:30" ht="52.8" x14ac:dyDescent="0.25">
      <c r="A30" s="387" t="s">
        <v>435</v>
      </c>
      <c r="B30" s="376" t="s">
        <v>480</v>
      </c>
      <c r="C30" s="376" t="s">
        <v>492</v>
      </c>
      <c r="D30" s="377"/>
      <c r="E30" s="377"/>
      <c r="F30" s="378">
        <f t="shared" si="8"/>
        <v>0</v>
      </c>
      <c r="L30" s="387" t="s">
        <v>435</v>
      </c>
      <c r="M30" s="377" t="s">
        <v>480</v>
      </c>
      <c r="N30" s="377" t="s">
        <v>492</v>
      </c>
      <c r="O30" s="377">
        <v>8.5745512599999998</v>
      </c>
      <c r="P30" s="377">
        <v>6.0104951600000005</v>
      </c>
      <c r="Q30" s="477">
        <f t="shared" si="2"/>
        <v>-2.5640560999999993</v>
      </c>
      <c r="R30" s="390">
        <f t="shared" si="7"/>
        <v>21.679098663802119</v>
      </c>
      <c r="S30" s="390">
        <f t="shared" si="4"/>
        <v>-29.903093727612742</v>
      </c>
      <c r="V30" s="387" t="s">
        <v>692</v>
      </c>
      <c r="W30" s="377">
        <v>0.16478029999999999</v>
      </c>
      <c r="X30" s="377">
        <v>0.18831673000000002</v>
      </c>
      <c r="Y30" s="378">
        <f>X30-W30</f>
        <v>2.3536430000000025E-2</v>
      </c>
    </row>
    <row r="31" spans="1:30" ht="40.200000000000003" thickBot="1" x14ac:dyDescent="0.3">
      <c r="A31" s="383" t="s">
        <v>452</v>
      </c>
      <c r="B31" s="384" t="s">
        <v>442</v>
      </c>
      <c r="C31" s="384" t="s">
        <v>533</v>
      </c>
      <c r="D31" s="385"/>
      <c r="E31" s="385"/>
      <c r="F31" s="386">
        <f t="shared" si="8"/>
        <v>0</v>
      </c>
      <c r="L31" s="412" t="s">
        <v>435</v>
      </c>
      <c r="M31" s="413">
        <v>0</v>
      </c>
      <c r="N31" s="379" t="s">
        <v>318</v>
      </c>
      <c r="O31" s="379">
        <f>SUM(O12:O30)</f>
        <v>49.402380999999998</v>
      </c>
      <c r="P31" s="379">
        <f>SUM(P12:P30)</f>
        <v>27.724838809999998</v>
      </c>
      <c r="Q31" s="380">
        <f>SUM(Q12:Q30)</f>
        <v>-21.677542190000008</v>
      </c>
      <c r="V31" s="387" t="s">
        <v>693</v>
      </c>
      <c r="W31" s="377">
        <v>42.20663261</v>
      </c>
      <c r="X31" s="377">
        <v>45.305895079999999</v>
      </c>
      <c r="Y31" s="378">
        <f>X31-W31</f>
        <v>3.0992624699999993</v>
      </c>
      <c r="Z31" s="371">
        <f>X31/W31%-100</f>
        <v>7.3430697460230334</v>
      </c>
    </row>
    <row r="32" spans="1:30" ht="54" thickTop="1" thickBot="1" x14ac:dyDescent="0.3">
      <c r="A32" s="387" t="s">
        <v>452</v>
      </c>
      <c r="B32" s="376" t="s">
        <v>454</v>
      </c>
      <c r="C32" s="376" t="s">
        <v>455</v>
      </c>
      <c r="D32" s="377"/>
      <c r="E32" s="377"/>
      <c r="F32" s="378">
        <f t="shared" ref="F32:F38" si="9">E32-D32</f>
        <v>0</v>
      </c>
      <c r="O32" s="371">
        <f>O31-D6</f>
        <v>0</v>
      </c>
      <c r="P32" s="371">
        <f>P31-E6</f>
        <v>0</v>
      </c>
      <c r="Q32" s="371">
        <f>Q31-F6</f>
        <v>0</v>
      </c>
      <c r="V32" s="388" t="s">
        <v>694</v>
      </c>
      <c r="W32" s="424">
        <v>1.643764E-2</v>
      </c>
      <c r="X32" s="424">
        <v>5.8668699999999997E-2</v>
      </c>
      <c r="Y32" s="425">
        <f>X32-W32</f>
        <v>4.2231060000000001E-2</v>
      </c>
    </row>
    <row r="33" spans="1:30" ht="27" thickTop="1" x14ac:dyDescent="0.25">
      <c r="A33" s="387" t="s">
        <v>452</v>
      </c>
      <c r="B33" s="376" t="s">
        <v>547</v>
      </c>
      <c r="C33" s="376" t="s">
        <v>548</v>
      </c>
      <c r="D33" s="377"/>
      <c r="E33" s="377"/>
      <c r="F33" s="378">
        <f t="shared" si="9"/>
        <v>0</v>
      </c>
      <c r="U33" s="382"/>
    </row>
    <row r="34" spans="1:30" s="382" customFormat="1" ht="53.4" thickBot="1" x14ac:dyDescent="0.3">
      <c r="A34" s="387" t="s">
        <v>452</v>
      </c>
      <c r="B34" s="376" t="s">
        <v>456</v>
      </c>
      <c r="C34" s="376" t="s">
        <v>457</v>
      </c>
      <c r="D34" s="377"/>
      <c r="E34" s="377"/>
      <c r="F34" s="378">
        <f t="shared" si="9"/>
        <v>0</v>
      </c>
      <c r="G34" s="371"/>
      <c r="H34" s="371"/>
      <c r="I34" s="371"/>
      <c r="L34" s="371"/>
      <c r="M34" s="371"/>
      <c r="N34" s="371"/>
      <c r="O34" s="371"/>
      <c r="P34" s="371"/>
      <c r="Q34" s="371"/>
      <c r="R34" s="371"/>
      <c r="S34" s="371"/>
      <c r="T34" s="371"/>
      <c r="V34" s="426" t="s">
        <v>606</v>
      </c>
      <c r="W34" s="371"/>
      <c r="X34" s="371"/>
      <c r="Y34" s="371"/>
      <c r="Z34" s="371"/>
      <c r="AA34" s="371"/>
      <c r="AB34" s="371"/>
      <c r="AC34" s="371"/>
      <c r="AD34" s="371"/>
    </row>
    <row r="35" spans="1:30" s="382" customFormat="1" ht="66.599999999999994" thickTop="1" x14ac:dyDescent="0.25">
      <c r="A35" s="387" t="s">
        <v>452</v>
      </c>
      <c r="B35" s="376" t="s">
        <v>192</v>
      </c>
      <c r="C35" s="376" t="s">
        <v>453</v>
      </c>
      <c r="D35" s="377"/>
      <c r="E35" s="377"/>
      <c r="F35" s="378">
        <f t="shared" si="9"/>
        <v>0</v>
      </c>
      <c r="G35" s="371"/>
      <c r="H35" s="371"/>
      <c r="I35" s="371"/>
      <c r="L35" s="371"/>
      <c r="M35" s="371"/>
      <c r="N35" s="371"/>
      <c r="O35" s="371"/>
      <c r="P35" s="371"/>
      <c r="Q35" s="371"/>
      <c r="R35" s="371"/>
      <c r="S35" s="371"/>
      <c r="T35" s="371"/>
      <c r="U35" s="371"/>
      <c r="V35" s="472" t="s">
        <v>311</v>
      </c>
      <c r="W35" s="473" t="s">
        <v>544</v>
      </c>
      <c r="X35" s="473" t="s">
        <v>671</v>
      </c>
      <c r="Y35" s="474" t="s">
        <v>522</v>
      </c>
      <c r="Z35" s="371"/>
      <c r="AA35" s="371"/>
      <c r="AB35" s="371"/>
      <c r="AC35" s="371"/>
      <c r="AD35" s="371"/>
    </row>
    <row r="36" spans="1:30" s="382" customFormat="1" ht="26.4" x14ac:dyDescent="0.25">
      <c r="A36" s="387" t="s">
        <v>452</v>
      </c>
      <c r="B36" s="376" t="s">
        <v>194</v>
      </c>
      <c r="C36" s="376" t="s">
        <v>460</v>
      </c>
      <c r="D36" s="377"/>
      <c r="E36" s="377"/>
      <c r="F36" s="378">
        <f t="shared" si="9"/>
        <v>0</v>
      </c>
      <c r="G36" s="371"/>
      <c r="H36" s="371"/>
      <c r="I36" s="371"/>
      <c r="L36" s="371"/>
      <c r="M36" s="371"/>
      <c r="N36" s="371"/>
      <c r="O36" s="371"/>
      <c r="P36" s="371"/>
      <c r="Q36" s="371"/>
      <c r="R36" s="371"/>
      <c r="S36" s="371"/>
      <c r="T36" s="371"/>
      <c r="U36" s="371"/>
      <c r="V36" s="383" t="s">
        <v>607</v>
      </c>
      <c r="W36" s="377">
        <v>0.11998952</v>
      </c>
      <c r="X36" s="377">
        <v>37.297124359999998</v>
      </c>
      <c r="Y36" s="378">
        <f>X36-W36</f>
        <v>37.177134840000001</v>
      </c>
      <c r="Z36" s="371"/>
      <c r="AA36" s="371"/>
      <c r="AB36" s="371"/>
      <c r="AC36" s="371"/>
      <c r="AD36" s="371"/>
    </row>
    <row r="37" spans="1:30" ht="66" x14ac:dyDescent="0.25">
      <c r="A37" s="387" t="s">
        <v>452</v>
      </c>
      <c r="B37" s="376" t="s">
        <v>201</v>
      </c>
      <c r="C37" s="376" t="s">
        <v>546</v>
      </c>
      <c r="D37" s="377"/>
      <c r="E37" s="377"/>
      <c r="F37" s="378">
        <f t="shared" si="9"/>
        <v>0</v>
      </c>
      <c r="G37" s="382"/>
      <c r="H37" s="382"/>
      <c r="I37" s="382"/>
      <c r="V37" s="387" t="s">
        <v>698</v>
      </c>
      <c r="W37" s="377">
        <v>0</v>
      </c>
      <c r="X37" s="377">
        <v>9.1091004700000013</v>
      </c>
      <c r="Y37" s="378">
        <f t="shared" ref="Y37:Y38" si="10">X37-W37</f>
        <v>9.1091004700000013</v>
      </c>
    </row>
    <row r="38" spans="1:30" ht="79.8" thickBot="1" x14ac:dyDescent="0.3">
      <c r="A38" s="388"/>
      <c r="B38" s="389"/>
      <c r="C38" s="444" t="s">
        <v>458</v>
      </c>
      <c r="D38" s="379">
        <f>Черн.!IT34/1000</f>
        <v>978.35137100999975</v>
      </c>
      <c r="E38" s="379">
        <f>Черн.!IV34/1000</f>
        <v>867.55124508999995</v>
      </c>
      <c r="F38" s="380">
        <f t="shared" si="9"/>
        <v>-110.8001259199998</v>
      </c>
      <c r="U38" s="382"/>
      <c r="V38" s="388" t="s">
        <v>699</v>
      </c>
      <c r="W38" s="424">
        <v>0</v>
      </c>
      <c r="X38" s="424">
        <v>17.365992540000001</v>
      </c>
      <c r="Y38" s="425">
        <f t="shared" si="10"/>
        <v>17.365992540000001</v>
      </c>
      <c r="AB38" s="381"/>
      <c r="AC38" s="381"/>
    </row>
    <row r="39" spans="1:30" s="382" customFormat="1" ht="13.8" thickTop="1" x14ac:dyDescent="0.25">
      <c r="A39" s="371"/>
      <c r="B39" s="391"/>
      <c r="C39" s="392"/>
      <c r="D39" s="393"/>
      <c r="E39" s="393"/>
      <c r="F39" s="393"/>
      <c r="G39" s="371"/>
      <c r="H39" s="371"/>
      <c r="I39" s="371"/>
      <c r="L39" s="371"/>
      <c r="M39" s="371"/>
      <c r="N39" s="371"/>
      <c r="O39" s="371"/>
      <c r="P39" s="371"/>
      <c r="Q39" s="371"/>
      <c r="R39" s="371"/>
      <c r="S39" s="371"/>
      <c r="T39" s="371"/>
      <c r="U39" s="371"/>
      <c r="V39" s="371"/>
      <c r="W39" s="371"/>
      <c r="X39" s="371"/>
      <c r="Y39" s="371"/>
      <c r="Z39" s="371"/>
      <c r="AA39" s="371"/>
      <c r="AB39" s="371"/>
      <c r="AC39" s="371"/>
      <c r="AD39" s="371"/>
    </row>
    <row r="40" spans="1:30" ht="31.8" thickBot="1" x14ac:dyDescent="0.3">
      <c r="C40" s="395" t="s">
        <v>461</v>
      </c>
      <c r="G40" s="382"/>
      <c r="H40" s="382"/>
      <c r="I40" s="382"/>
    </row>
    <row r="41" spans="1:30" ht="13.8" thickTop="1" x14ac:dyDescent="0.25">
      <c r="A41" s="445" t="s">
        <v>439</v>
      </c>
      <c r="B41" s="446"/>
      <c r="C41" s="418" t="s">
        <v>311</v>
      </c>
      <c r="D41" s="420" t="s">
        <v>544</v>
      </c>
      <c r="E41" s="420" t="s">
        <v>671</v>
      </c>
      <c r="F41" s="374" t="s">
        <v>522</v>
      </c>
    </row>
    <row r="42" spans="1:30" ht="26.4" x14ac:dyDescent="0.25">
      <c r="A42" s="396" t="s">
        <v>433</v>
      </c>
      <c r="B42" s="397" t="s">
        <v>442</v>
      </c>
      <c r="C42" s="384" t="s">
        <v>530</v>
      </c>
      <c r="D42" s="385"/>
      <c r="E42" s="385"/>
      <c r="F42" s="386">
        <f>E42-D42</f>
        <v>0</v>
      </c>
    </row>
    <row r="43" spans="1:30" ht="26.4" x14ac:dyDescent="0.25">
      <c r="A43" s="398" t="s">
        <v>433</v>
      </c>
      <c r="B43" s="399">
        <v>11</v>
      </c>
      <c r="C43" s="376" t="s">
        <v>445</v>
      </c>
      <c r="D43" s="377"/>
      <c r="E43" s="377"/>
      <c r="F43" s="378">
        <f t="shared" ref="F43:F64" si="11">E43-D43</f>
        <v>0</v>
      </c>
      <c r="Z43" s="382"/>
      <c r="AA43" s="382"/>
    </row>
    <row r="44" spans="1:30" ht="39.6" x14ac:dyDescent="0.25">
      <c r="A44" s="398" t="s">
        <v>433</v>
      </c>
      <c r="B44" s="399" t="s">
        <v>472</v>
      </c>
      <c r="C44" s="376" t="s">
        <v>549</v>
      </c>
      <c r="D44" s="377"/>
      <c r="E44" s="377"/>
      <c r="F44" s="378">
        <f t="shared" si="11"/>
        <v>0</v>
      </c>
      <c r="V44" s="382"/>
      <c r="W44" s="382"/>
      <c r="X44" s="382"/>
      <c r="Y44" s="382"/>
      <c r="Z44" s="382"/>
      <c r="AA44" s="382"/>
    </row>
    <row r="45" spans="1:30" ht="52.8" x14ac:dyDescent="0.25">
      <c r="A45" s="398" t="s">
        <v>433</v>
      </c>
      <c r="B45" s="399" t="s">
        <v>477</v>
      </c>
      <c r="C45" s="376" t="s">
        <v>515</v>
      </c>
      <c r="D45" s="377"/>
      <c r="E45" s="377"/>
      <c r="F45" s="378">
        <f t="shared" si="11"/>
        <v>0</v>
      </c>
      <c r="U45" s="382"/>
      <c r="V45" s="382"/>
      <c r="W45" s="382"/>
      <c r="X45" s="382"/>
      <c r="Y45" s="382"/>
      <c r="Z45" s="382"/>
      <c r="AA45" s="382"/>
    </row>
    <row r="46" spans="1:30" s="382" customFormat="1" ht="52.8" x14ac:dyDescent="0.25">
      <c r="A46" s="398" t="s">
        <v>433</v>
      </c>
      <c r="B46" s="399" t="s">
        <v>517</v>
      </c>
      <c r="C46" s="376" t="s">
        <v>516</v>
      </c>
      <c r="D46" s="377"/>
      <c r="E46" s="377"/>
      <c r="F46" s="378">
        <f t="shared" si="11"/>
        <v>0</v>
      </c>
      <c r="G46" s="371"/>
      <c r="H46" s="371"/>
      <c r="I46" s="371"/>
      <c r="L46" s="371"/>
      <c r="M46" s="371"/>
      <c r="N46" s="371"/>
      <c r="O46" s="371"/>
      <c r="P46" s="371"/>
      <c r="Q46" s="371"/>
      <c r="R46" s="371"/>
      <c r="S46" s="371"/>
      <c r="T46" s="371"/>
      <c r="Z46" s="371"/>
      <c r="AA46" s="371"/>
      <c r="AB46" s="371"/>
      <c r="AC46" s="371"/>
      <c r="AD46" s="371"/>
    </row>
    <row r="47" spans="1:30" s="382" customFormat="1" ht="26.4" x14ac:dyDescent="0.25">
      <c r="A47" s="398" t="s">
        <v>433</v>
      </c>
      <c r="B47" s="399" t="s">
        <v>550</v>
      </c>
      <c r="C47" s="376" t="s">
        <v>551</v>
      </c>
      <c r="D47" s="377"/>
      <c r="E47" s="377"/>
      <c r="F47" s="378">
        <f t="shared" si="11"/>
        <v>0</v>
      </c>
      <c r="G47" s="371"/>
      <c r="H47" s="371"/>
      <c r="I47" s="371"/>
      <c r="L47" s="371"/>
      <c r="M47" s="371"/>
      <c r="N47" s="371"/>
      <c r="O47" s="371"/>
      <c r="P47" s="371"/>
      <c r="Q47" s="371"/>
      <c r="V47" s="371"/>
      <c r="W47" s="371"/>
      <c r="X47" s="371"/>
      <c r="Y47" s="371"/>
      <c r="Z47" s="371"/>
      <c r="AA47" s="371"/>
      <c r="AB47" s="371"/>
      <c r="AC47" s="371"/>
      <c r="AD47" s="371"/>
    </row>
    <row r="48" spans="1:30" s="382" customFormat="1" ht="26.4" x14ac:dyDescent="0.25">
      <c r="A48" s="383" t="s">
        <v>434</v>
      </c>
      <c r="B48" s="384" t="s">
        <v>442</v>
      </c>
      <c r="C48" s="384" t="s">
        <v>531</v>
      </c>
      <c r="D48" s="385"/>
      <c r="E48" s="385"/>
      <c r="F48" s="386">
        <f t="shared" si="11"/>
        <v>0</v>
      </c>
      <c r="G48" s="371"/>
      <c r="H48" s="371"/>
      <c r="I48" s="371"/>
      <c r="L48" s="371"/>
      <c r="M48" s="371"/>
      <c r="N48" s="371"/>
      <c r="O48" s="371"/>
      <c r="P48" s="371"/>
      <c r="Q48" s="371"/>
      <c r="R48" s="371"/>
      <c r="S48" s="371"/>
      <c r="T48" s="371"/>
      <c r="U48" s="371"/>
      <c r="V48" s="371"/>
      <c r="W48" s="371"/>
      <c r="X48" s="371"/>
      <c r="Y48" s="371"/>
      <c r="AB48" s="371"/>
      <c r="AC48" s="371"/>
      <c r="AD48" s="371"/>
    </row>
    <row r="49" spans="1:30" ht="39.6" x14ac:dyDescent="0.25">
      <c r="A49" s="398" t="s">
        <v>434</v>
      </c>
      <c r="B49" s="399" t="s">
        <v>474</v>
      </c>
      <c r="C49" s="376" t="s">
        <v>552</v>
      </c>
      <c r="D49" s="377"/>
      <c r="E49" s="377"/>
      <c r="F49" s="378">
        <f t="shared" si="11"/>
        <v>0</v>
      </c>
      <c r="G49" s="382"/>
      <c r="H49" s="382"/>
      <c r="I49" s="382"/>
      <c r="L49" s="382"/>
      <c r="M49" s="382"/>
      <c r="N49" s="382"/>
      <c r="O49" s="382"/>
      <c r="P49" s="382"/>
      <c r="Q49" s="382"/>
      <c r="V49" s="382"/>
      <c r="W49" s="382"/>
      <c r="X49" s="382"/>
      <c r="Y49" s="382"/>
      <c r="AD49" s="382"/>
    </row>
    <row r="50" spans="1:30" ht="26.4" x14ac:dyDescent="0.25">
      <c r="A50" s="396" t="s">
        <v>553</v>
      </c>
      <c r="B50" s="397" t="s">
        <v>442</v>
      </c>
      <c r="C50" s="384" t="s">
        <v>555</v>
      </c>
      <c r="D50" s="385"/>
      <c r="E50" s="385"/>
      <c r="F50" s="386">
        <f t="shared" si="11"/>
        <v>0</v>
      </c>
      <c r="G50" s="382"/>
      <c r="H50" s="382"/>
      <c r="I50" s="382"/>
      <c r="R50" s="382"/>
      <c r="S50" s="382"/>
      <c r="T50" s="382"/>
      <c r="AD50" s="382"/>
    </row>
    <row r="51" spans="1:30" ht="39.6" x14ac:dyDescent="0.25">
      <c r="A51" s="398" t="s">
        <v>553</v>
      </c>
      <c r="B51" s="399" t="s">
        <v>450</v>
      </c>
      <c r="C51" s="376" t="s">
        <v>556</v>
      </c>
      <c r="D51" s="377"/>
      <c r="E51" s="377"/>
      <c r="F51" s="378">
        <f t="shared" si="11"/>
        <v>0</v>
      </c>
      <c r="G51" s="382"/>
      <c r="H51" s="382"/>
      <c r="I51" s="382"/>
      <c r="AD51" s="382"/>
    </row>
    <row r="52" spans="1:30" ht="39.6" x14ac:dyDescent="0.25">
      <c r="A52" s="396">
        <v>302</v>
      </c>
      <c r="B52" s="397" t="s">
        <v>442</v>
      </c>
      <c r="C52" s="384" t="s">
        <v>532</v>
      </c>
      <c r="D52" s="385"/>
      <c r="E52" s="385"/>
      <c r="F52" s="386">
        <f t="shared" si="11"/>
        <v>0</v>
      </c>
      <c r="L52" s="382"/>
      <c r="M52" s="382"/>
      <c r="N52" s="382"/>
      <c r="O52" s="382"/>
      <c r="P52" s="382"/>
      <c r="Q52" s="382"/>
    </row>
    <row r="53" spans="1:30" ht="26.4" x14ac:dyDescent="0.25">
      <c r="A53" s="398" t="s">
        <v>435</v>
      </c>
      <c r="B53" s="399" t="s">
        <v>473</v>
      </c>
      <c r="C53" s="376" t="s">
        <v>484</v>
      </c>
      <c r="D53" s="377"/>
      <c r="E53" s="377"/>
      <c r="F53" s="378">
        <f t="shared" si="11"/>
        <v>0</v>
      </c>
      <c r="U53" s="382"/>
    </row>
    <row r="54" spans="1:30" s="382" customFormat="1" ht="28.5" customHeight="1" x14ac:dyDescent="0.25">
      <c r="A54" s="398" t="s">
        <v>435</v>
      </c>
      <c r="B54" s="399" t="s">
        <v>446</v>
      </c>
      <c r="C54" s="376" t="s">
        <v>447</v>
      </c>
      <c r="D54" s="377"/>
      <c r="E54" s="377"/>
      <c r="F54" s="378">
        <f t="shared" si="11"/>
        <v>0</v>
      </c>
      <c r="G54" s="371"/>
      <c r="H54" s="371"/>
      <c r="I54" s="371"/>
      <c r="L54" s="371"/>
      <c r="M54" s="371"/>
      <c r="N54" s="371"/>
      <c r="O54" s="371"/>
      <c r="P54" s="371"/>
      <c r="Q54" s="371"/>
      <c r="R54" s="371"/>
      <c r="S54" s="371"/>
      <c r="T54" s="371"/>
      <c r="U54" s="371"/>
      <c r="V54" s="371"/>
      <c r="W54" s="371"/>
      <c r="X54" s="371"/>
      <c r="Y54" s="371"/>
      <c r="Z54" s="371"/>
      <c r="AA54" s="371"/>
      <c r="AB54" s="371"/>
      <c r="AC54" s="371"/>
    </row>
    <row r="55" spans="1:30" ht="26.4" x14ac:dyDescent="0.25">
      <c r="A55" s="398">
        <v>302</v>
      </c>
      <c r="B55" s="399">
        <v>31</v>
      </c>
      <c r="C55" s="376" t="s">
        <v>449</v>
      </c>
      <c r="D55" s="377"/>
      <c r="E55" s="377"/>
      <c r="F55" s="378">
        <f t="shared" si="11"/>
        <v>0</v>
      </c>
      <c r="G55" s="382"/>
      <c r="H55" s="382"/>
      <c r="I55" s="382"/>
      <c r="Z55" s="382"/>
      <c r="AA55" s="382"/>
    </row>
    <row r="56" spans="1:30" ht="26.4" x14ac:dyDescent="0.25">
      <c r="A56" s="398" t="s">
        <v>435</v>
      </c>
      <c r="B56" s="399" t="s">
        <v>475</v>
      </c>
      <c r="C56" s="376" t="s">
        <v>486</v>
      </c>
      <c r="D56" s="377"/>
      <c r="E56" s="377"/>
      <c r="F56" s="378">
        <f t="shared" si="11"/>
        <v>0</v>
      </c>
      <c r="G56" s="382"/>
      <c r="H56" s="382"/>
      <c r="I56" s="382"/>
      <c r="V56" s="382"/>
      <c r="W56" s="382"/>
      <c r="X56" s="382"/>
      <c r="Y56" s="382"/>
      <c r="Z56" s="382"/>
      <c r="AA56" s="382"/>
    </row>
    <row r="57" spans="1:30" ht="66" x14ac:dyDescent="0.25">
      <c r="A57" s="398" t="s">
        <v>435</v>
      </c>
      <c r="B57" s="399" t="s">
        <v>512</v>
      </c>
      <c r="C57" s="376" t="s">
        <v>513</v>
      </c>
      <c r="D57" s="377"/>
      <c r="E57" s="377"/>
      <c r="F57" s="378">
        <f t="shared" si="11"/>
        <v>0</v>
      </c>
      <c r="V57" s="382"/>
      <c r="W57" s="382"/>
      <c r="X57" s="382"/>
      <c r="Y57" s="382"/>
      <c r="Z57" s="382"/>
      <c r="AA57" s="382"/>
    </row>
    <row r="58" spans="1:30" ht="92.4" x14ac:dyDescent="0.25">
      <c r="A58" s="398" t="s">
        <v>435</v>
      </c>
      <c r="B58" s="399" t="s">
        <v>518</v>
      </c>
      <c r="C58" s="376" t="s">
        <v>519</v>
      </c>
      <c r="D58" s="377"/>
      <c r="E58" s="377"/>
      <c r="F58" s="378">
        <f t="shared" si="11"/>
        <v>0</v>
      </c>
      <c r="V58" s="382"/>
      <c r="W58" s="382"/>
      <c r="X58" s="382"/>
      <c r="Y58" s="382"/>
    </row>
    <row r="59" spans="1:30" ht="26.4" x14ac:dyDescent="0.25">
      <c r="A59" s="398" t="s">
        <v>435</v>
      </c>
      <c r="B59" s="399" t="s">
        <v>514</v>
      </c>
      <c r="C59" s="376" t="s">
        <v>459</v>
      </c>
      <c r="D59" s="377"/>
      <c r="E59" s="377"/>
      <c r="F59" s="378">
        <f t="shared" si="11"/>
        <v>0</v>
      </c>
      <c r="G59" s="371">
        <f>E60/E64%</f>
        <v>0</v>
      </c>
      <c r="H59" s="371" t="e">
        <f>E60/D60%-100</f>
        <v>#DIV/0!</v>
      </c>
      <c r="V59" s="382"/>
      <c r="W59" s="382"/>
      <c r="X59" s="382"/>
      <c r="Y59" s="382"/>
    </row>
    <row r="60" spans="1:30" ht="26.4" x14ac:dyDescent="0.25">
      <c r="A60" s="398" t="s">
        <v>435</v>
      </c>
      <c r="B60" s="399" t="s">
        <v>479</v>
      </c>
      <c r="C60" s="376" t="s">
        <v>490</v>
      </c>
      <c r="D60" s="377"/>
      <c r="E60" s="377"/>
      <c r="F60" s="378">
        <f t="shared" si="11"/>
        <v>0</v>
      </c>
      <c r="V60" s="382"/>
      <c r="W60" s="382"/>
      <c r="X60" s="382"/>
      <c r="Y60" s="382"/>
    </row>
    <row r="61" spans="1:30" ht="39.6" x14ac:dyDescent="0.25">
      <c r="A61" s="396" t="s">
        <v>452</v>
      </c>
      <c r="B61" s="397" t="s">
        <v>442</v>
      </c>
      <c r="C61" s="384" t="s">
        <v>534</v>
      </c>
      <c r="D61" s="385"/>
      <c r="E61" s="385"/>
      <c r="F61" s="386">
        <f t="shared" si="11"/>
        <v>0</v>
      </c>
      <c r="R61" s="382"/>
      <c r="S61" s="382"/>
      <c r="T61" s="382"/>
      <c r="AB61" s="382"/>
      <c r="AC61" s="382"/>
      <c r="AD61" s="382"/>
    </row>
    <row r="62" spans="1:30" ht="66" x14ac:dyDescent="0.25">
      <c r="A62" s="398" t="s">
        <v>452</v>
      </c>
      <c r="B62" s="399" t="s">
        <v>192</v>
      </c>
      <c r="C62" s="376" t="s">
        <v>453</v>
      </c>
      <c r="D62" s="377"/>
      <c r="E62" s="377"/>
      <c r="F62" s="378">
        <f t="shared" si="11"/>
        <v>0</v>
      </c>
      <c r="AB62" s="382"/>
      <c r="AC62" s="382"/>
      <c r="AD62" s="382"/>
    </row>
    <row r="63" spans="1:30" ht="26.4" x14ac:dyDescent="0.25">
      <c r="A63" s="398" t="s">
        <v>452</v>
      </c>
      <c r="B63" s="399" t="s">
        <v>194</v>
      </c>
      <c r="C63" s="376" t="s">
        <v>460</v>
      </c>
      <c r="D63" s="377"/>
      <c r="E63" s="377"/>
      <c r="F63" s="378">
        <f t="shared" si="11"/>
        <v>0</v>
      </c>
      <c r="L63" s="382"/>
      <c r="M63" s="382"/>
      <c r="N63" s="382"/>
      <c r="O63" s="382"/>
      <c r="P63" s="382"/>
      <c r="Q63" s="382"/>
      <c r="Z63" s="382"/>
      <c r="AA63" s="382"/>
      <c r="AB63" s="382"/>
      <c r="AC63" s="382"/>
      <c r="AD63" s="382"/>
    </row>
    <row r="64" spans="1:30" ht="13.5" customHeight="1" thickBot="1" x14ac:dyDescent="0.3">
      <c r="A64" s="1206" t="s">
        <v>462</v>
      </c>
      <c r="B64" s="1207"/>
      <c r="C64" s="1207"/>
      <c r="D64" s="379">
        <f>'7_Кредит_МО'!B35/1000</f>
        <v>12512.646004189999</v>
      </c>
      <c r="E64" s="379">
        <f>'7_Кредит_МО'!E35/1000</f>
        <v>18477.54346266</v>
      </c>
      <c r="F64" s="380">
        <f t="shared" si="11"/>
        <v>5964.8974584700009</v>
      </c>
      <c r="V64" s="382"/>
      <c r="W64" s="382"/>
      <c r="X64" s="382"/>
      <c r="Y64" s="382"/>
    </row>
    <row r="65" spans="1:30" ht="13.8" thickTop="1" x14ac:dyDescent="0.25">
      <c r="B65" s="371"/>
      <c r="C65" s="371"/>
      <c r="V65" s="382"/>
      <c r="W65" s="382"/>
      <c r="X65" s="382"/>
      <c r="Y65" s="382"/>
    </row>
    <row r="66" spans="1:30" x14ac:dyDescent="0.25">
      <c r="A66" s="394"/>
      <c r="B66" s="394"/>
      <c r="R66" s="382"/>
      <c r="S66" s="382"/>
      <c r="T66" s="382"/>
      <c r="AB66" s="382"/>
      <c r="AC66" s="382"/>
    </row>
    <row r="67" spans="1:30" x14ac:dyDescent="0.25">
      <c r="A67" s="394"/>
      <c r="B67" s="394"/>
    </row>
    <row r="68" spans="1:30" x14ac:dyDescent="0.25">
      <c r="A68" s="394"/>
      <c r="B68" s="394"/>
      <c r="L68" s="382"/>
      <c r="M68" s="382"/>
      <c r="N68" s="382"/>
      <c r="O68" s="382"/>
      <c r="P68" s="382"/>
      <c r="Q68" s="382"/>
    </row>
    <row r="69" spans="1:30" x14ac:dyDescent="0.25">
      <c r="A69" s="394"/>
      <c r="B69" s="394"/>
      <c r="AD69" s="382"/>
    </row>
    <row r="70" spans="1:30" x14ac:dyDescent="0.25">
      <c r="A70" s="394"/>
      <c r="B70" s="394"/>
    </row>
    <row r="71" spans="1:30" x14ac:dyDescent="0.25">
      <c r="A71" s="394"/>
      <c r="B71" s="394"/>
    </row>
    <row r="72" spans="1:30" x14ac:dyDescent="0.25">
      <c r="A72" s="394"/>
      <c r="B72" s="394"/>
    </row>
    <row r="73" spans="1:30" x14ac:dyDescent="0.25">
      <c r="A73" s="394"/>
      <c r="B73" s="394"/>
      <c r="AB73" s="382"/>
      <c r="AC73" s="382"/>
    </row>
    <row r="74" spans="1:30" x14ac:dyDescent="0.25">
      <c r="A74" s="394"/>
      <c r="B74" s="394"/>
      <c r="AB74" s="382"/>
      <c r="AC74" s="382"/>
    </row>
    <row r="75" spans="1:30" x14ac:dyDescent="0.25">
      <c r="A75" s="394"/>
      <c r="B75" s="394"/>
      <c r="AB75" s="382"/>
      <c r="AC75" s="382"/>
    </row>
    <row r="76" spans="1:30" x14ac:dyDescent="0.25">
      <c r="A76" s="394"/>
      <c r="B76" s="394"/>
    </row>
    <row r="77" spans="1:30" x14ac:dyDescent="0.25">
      <c r="A77" s="394"/>
      <c r="B77" s="394"/>
    </row>
    <row r="78" spans="1:30" x14ac:dyDescent="0.25">
      <c r="A78" s="394"/>
      <c r="B78" s="394"/>
    </row>
    <row r="79" spans="1:30" x14ac:dyDescent="0.25">
      <c r="A79" s="394"/>
      <c r="B79" s="394"/>
    </row>
    <row r="80" spans="1:30" x14ac:dyDescent="0.25">
      <c r="A80" s="394"/>
      <c r="B80" s="394"/>
    </row>
    <row r="81" spans="1:29" x14ac:dyDescent="0.25">
      <c r="A81" s="394"/>
      <c r="B81" s="394"/>
      <c r="AB81" s="382"/>
      <c r="AC81" s="382"/>
    </row>
    <row r="82" spans="1:29" x14ac:dyDescent="0.25">
      <c r="B82" s="394"/>
    </row>
  </sheetData>
  <mergeCells count="4">
    <mergeCell ref="A12:B12"/>
    <mergeCell ref="B8:C8"/>
    <mergeCell ref="L11:M11"/>
    <mergeCell ref="A64:C64"/>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opLeftCell="A10" zoomScaleNormal="100" workbookViewId="0">
      <selection activeCell="A8" sqref="A8"/>
    </sheetView>
  </sheetViews>
  <sheetFormatPr defaultColWidth="9.109375" defaultRowHeight="13.2" x14ac:dyDescent="0.25"/>
  <cols>
    <col min="1" max="1" width="21" style="219" bestFit="1" customWidth="1"/>
    <col min="2" max="2" width="12.33203125" style="220" bestFit="1" customWidth="1"/>
    <col min="3" max="3" width="13.44140625" style="220" bestFit="1" customWidth="1"/>
    <col min="4" max="4" width="12.33203125" style="220" bestFit="1" customWidth="1"/>
    <col min="5" max="5" width="13.44140625" style="220" bestFit="1" customWidth="1"/>
    <col min="6" max="6" width="11.33203125" style="220" bestFit="1" customWidth="1"/>
    <col min="7" max="7" width="11.33203125" style="220" customWidth="1"/>
    <col min="8" max="8" width="12.33203125" style="220" bestFit="1" customWidth="1"/>
    <col min="9" max="9" width="12.33203125" style="220" customWidth="1"/>
    <col min="10" max="10" width="12.33203125" style="220" bestFit="1" customWidth="1"/>
    <col min="11" max="11" width="12.33203125" style="220" customWidth="1"/>
    <col min="12" max="12" width="12.33203125" style="220" bestFit="1" customWidth="1"/>
    <col min="13" max="13" width="12.33203125" style="220" customWidth="1"/>
    <col min="14" max="16384" width="9.109375" style="220"/>
  </cols>
  <sheetData>
    <row r="1" spans="1:18" s="219" customFormat="1" x14ac:dyDescent="0.25"/>
    <row r="2" spans="1:18" s="219" customFormat="1" x14ac:dyDescent="0.25">
      <c r="A2" s="219" t="s">
        <v>616</v>
      </c>
      <c r="B2" s="219" t="s">
        <v>611</v>
      </c>
    </row>
    <row r="3" spans="1:18" s="478" customFormat="1" ht="72.75" customHeight="1" x14ac:dyDescent="0.25">
      <c r="A3" s="1197" t="s">
        <v>181</v>
      </c>
      <c r="B3" s="1197" t="s">
        <v>612</v>
      </c>
      <c r="C3" s="1197"/>
      <c r="D3" s="1197" t="s">
        <v>617</v>
      </c>
      <c r="E3" s="1197"/>
      <c r="F3" s="1197" t="s">
        <v>613</v>
      </c>
      <c r="G3" s="1197"/>
      <c r="H3" s="1197"/>
      <c r="I3" s="1197"/>
      <c r="J3" s="1197" t="s">
        <v>614</v>
      </c>
      <c r="K3" s="1197"/>
      <c r="L3" s="1197"/>
      <c r="M3" s="1197"/>
      <c r="N3" s="1197" t="s">
        <v>615</v>
      </c>
      <c r="O3" s="1197"/>
    </row>
    <row r="4" spans="1:18" s="481" customFormat="1" x14ac:dyDescent="0.25">
      <c r="A4" s="1197"/>
      <c r="B4" s="1208">
        <v>43831</v>
      </c>
      <c r="C4" s="1208">
        <v>44197</v>
      </c>
      <c r="D4" s="1208">
        <v>43831</v>
      </c>
      <c r="E4" s="1208">
        <v>44197</v>
      </c>
      <c r="F4" s="1208">
        <v>43831</v>
      </c>
      <c r="G4" s="1208"/>
      <c r="H4" s="1208">
        <v>44197</v>
      </c>
      <c r="I4" s="1208"/>
      <c r="J4" s="1208">
        <v>43831</v>
      </c>
      <c r="K4" s="1208"/>
      <c r="L4" s="1208">
        <v>44197</v>
      </c>
      <c r="M4" s="1208"/>
      <c r="N4" s="1208">
        <v>43831</v>
      </c>
      <c r="O4" s="1208">
        <v>44197</v>
      </c>
    </row>
    <row r="5" spans="1:18" s="481" customFormat="1" ht="26.4" x14ac:dyDescent="0.25">
      <c r="A5" s="1197"/>
      <c r="B5" s="1208"/>
      <c r="C5" s="1208"/>
      <c r="D5" s="1208"/>
      <c r="E5" s="1208"/>
      <c r="F5" s="478" t="s">
        <v>325</v>
      </c>
      <c r="G5" s="478" t="s">
        <v>326</v>
      </c>
      <c r="H5" s="478" t="s">
        <v>325</v>
      </c>
      <c r="I5" s="478" t="s">
        <v>326</v>
      </c>
      <c r="J5" s="481" t="s">
        <v>325</v>
      </c>
      <c r="K5" s="481" t="s">
        <v>326</v>
      </c>
      <c r="L5" s="481" t="s">
        <v>325</v>
      </c>
      <c r="M5" s="481" t="s">
        <v>326</v>
      </c>
      <c r="N5" s="1208"/>
      <c r="O5" s="1208"/>
    </row>
    <row r="6" spans="1:18" s="480" customFormat="1" x14ac:dyDescent="0.25"/>
    <row r="7" spans="1:18" x14ac:dyDescent="0.25">
      <c r="A7" s="219" t="s">
        <v>152</v>
      </c>
      <c r="B7" s="220">
        <f>Черн.!FH8</f>
        <v>234341.31184000045</v>
      </c>
      <c r="C7" s="220">
        <f>Черн.!FJ8</f>
        <v>186944.50966000021</v>
      </c>
      <c r="D7" s="220">
        <v>191595.03043000016</v>
      </c>
      <c r="E7" s="220">
        <v>148147.82429000014</v>
      </c>
      <c r="F7" s="220">
        <f>B7-D7</f>
        <v>42746.281410000287</v>
      </c>
      <c r="G7" s="220">
        <f>Черн.!FI8</f>
        <v>21654.178960000001</v>
      </c>
      <c r="H7" s="220">
        <f>C7-E7</f>
        <v>38796.685370000079</v>
      </c>
      <c r="I7" s="220">
        <f>Черн.!FK8</f>
        <v>22073.80588</v>
      </c>
      <c r="J7" s="220">
        <f>Черн.!IT8</f>
        <v>62296.707029999998</v>
      </c>
      <c r="K7" s="220">
        <f>Черн.!IU8</f>
        <v>4283.4483399999999</v>
      </c>
      <c r="L7" s="220">
        <f>Черн.!IV8</f>
        <v>25496.327220000003</v>
      </c>
      <c r="M7" s="220">
        <f>Черн.!IW8</f>
        <v>12.487019999999999</v>
      </c>
      <c r="N7" s="220">
        <f>F7/J7</f>
        <v>0.68617240698477233</v>
      </c>
      <c r="O7" s="220">
        <f>H7/L7</f>
        <v>1.5216578072298554</v>
      </c>
      <c r="Q7" s="220">
        <f>G7/F7%</f>
        <v>50.657456615475589</v>
      </c>
      <c r="R7" s="220">
        <f>I7/H7%</f>
        <v>56.896112823774345</v>
      </c>
    </row>
    <row r="8" spans="1:18" x14ac:dyDescent="0.25">
      <c r="A8" s="219" t="s">
        <v>153</v>
      </c>
      <c r="B8" s="220">
        <f>Черн.!FH9</f>
        <v>18070.538859999971</v>
      </c>
      <c r="C8" s="220">
        <f>Черн.!FJ9</f>
        <v>19983.266280000098</v>
      </c>
      <c r="D8" s="220">
        <v>243.82866000011563</v>
      </c>
      <c r="E8" s="220">
        <v>23.596320000011474</v>
      </c>
      <c r="F8" s="220">
        <f t="shared" ref="F8:F32" si="0">B8-D8</f>
        <v>17826.710199999856</v>
      </c>
      <c r="G8" s="220">
        <f>Черн.!FI9</f>
        <v>13069.82308</v>
      </c>
      <c r="H8" s="220">
        <f t="shared" ref="H8:H32" si="1">C8-E8</f>
        <v>19959.669960000087</v>
      </c>
      <c r="I8" s="220">
        <f>Черн.!FK9</f>
        <v>11671.09166</v>
      </c>
      <c r="J8" s="220">
        <f>Черн.!IT9</f>
        <v>5621.9100899999994</v>
      </c>
      <c r="K8" s="220">
        <f>Черн.!IU9</f>
        <v>0</v>
      </c>
      <c r="L8" s="220">
        <f>Черн.!IV9</f>
        <v>5443.6735600000002</v>
      </c>
      <c r="M8" s="220">
        <f>Черн.!IW9</f>
        <v>0</v>
      </c>
      <c r="N8" s="220">
        <f>F8/J8</f>
        <v>3.1709347738785802</v>
      </c>
      <c r="O8" s="220">
        <f t="shared" ref="O8:O35" si="2">H8/L8</f>
        <v>3.6665809843307513</v>
      </c>
      <c r="Q8" s="220">
        <f t="shared" ref="Q8:Q35" si="3">G8/F8%</f>
        <v>73.315956412418188</v>
      </c>
      <c r="R8" s="220">
        <f t="shared" ref="R8:R35" si="4">I8/H8%</f>
        <v>58.473369967485922</v>
      </c>
    </row>
    <row r="9" spans="1:18" x14ac:dyDescent="0.25">
      <c r="A9" s="219" t="s">
        <v>154</v>
      </c>
      <c r="B9" s="220">
        <f>Черн.!FH10</f>
        <v>11842.53770999983</v>
      </c>
      <c r="C9" s="220">
        <f>Черн.!FJ10</f>
        <v>10348.577959999908</v>
      </c>
      <c r="D9" s="220">
        <v>1831.0188699997962</v>
      </c>
      <c r="E9" s="220">
        <v>0</v>
      </c>
      <c r="F9" s="220">
        <f t="shared" si="0"/>
        <v>10011.518840000033</v>
      </c>
      <c r="G9" s="220">
        <f>Черн.!FI10</f>
        <v>3915.8969200000001</v>
      </c>
      <c r="H9" s="220">
        <f t="shared" si="1"/>
        <v>10348.577959999908</v>
      </c>
      <c r="I9" s="220">
        <f>Черн.!FK10</f>
        <v>3874.65787</v>
      </c>
      <c r="J9" s="220">
        <f>Черн.!IT10</f>
        <v>6760.8038399999996</v>
      </c>
      <c r="K9" s="220">
        <f>Черн.!IU10</f>
        <v>0</v>
      </c>
      <c r="L9" s="220">
        <f>Черн.!IV10</f>
        <v>24813.30588</v>
      </c>
      <c r="M9" s="220">
        <f>Черн.!IW10</f>
        <v>0</v>
      </c>
      <c r="N9" s="220">
        <f t="shared" ref="N9:N35" si="5">F9/J9</f>
        <v>1.4808178253549262</v>
      </c>
      <c r="O9" s="220">
        <f t="shared" si="2"/>
        <v>0.41705760651349</v>
      </c>
      <c r="Q9" s="220">
        <f t="shared" si="3"/>
        <v>39.113914507701082</v>
      </c>
      <c r="R9" s="220">
        <f t="shared" si="4"/>
        <v>37.441452197360988</v>
      </c>
    </row>
    <row r="10" spans="1:18" x14ac:dyDescent="0.25">
      <c r="A10" s="219" t="s">
        <v>155</v>
      </c>
      <c r="B10" s="220">
        <f>Черн.!FH11</f>
        <v>85858.755889999913</v>
      </c>
      <c r="C10" s="220">
        <f>Черн.!FJ11</f>
        <v>85742.944380000001</v>
      </c>
      <c r="D10" s="220">
        <v>76631.726419999963</v>
      </c>
      <c r="E10" s="220">
        <v>75083.24682</v>
      </c>
      <c r="F10" s="220">
        <f t="shared" si="0"/>
        <v>9227.0294699999504</v>
      </c>
      <c r="G10" s="220">
        <f>Черн.!FI11</f>
        <v>7421.5724</v>
      </c>
      <c r="H10" s="220">
        <f t="shared" si="1"/>
        <v>10659.697560000001</v>
      </c>
      <c r="I10" s="220">
        <f>Черн.!FK11</f>
        <v>6818.3524200000002</v>
      </c>
      <c r="J10" s="220">
        <f>Черн.!IT11</f>
        <v>5078.3171600000005</v>
      </c>
      <c r="K10" s="220">
        <f>Черн.!IU11</f>
        <v>0</v>
      </c>
      <c r="L10" s="220">
        <f>Черн.!IV11</f>
        <v>5831.3901599999999</v>
      </c>
      <c r="M10" s="220">
        <f>Черн.!IW11</f>
        <v>0</v>
      </c>
      <c r="N10" s="220">
        <f t="shared" si="5"/>
        <v>1.8169462795033364</v>
      </c>
      <c r="O10" s="220">
        <f t="shared" si="2"/>
        <v>1.8279856547962485</v>
      </c>
      <c r="Q10" s="220">
        <f t="shared" si="3"/>
        <v>80.432954334110732</v>
      </c>
      <c r="R10" s="220">
        <f t="shared" si="4"/>
        <v>63.963844955466072</v>
      </c>
    </row>
    <row r="11" spans="1:18" x14ac:dyDescent="0.25">
      <c r="A11" s="219" t="s">
        <v>156</v>
      </c>
      <c r="B11" s="220">
        <f>Черн.!FH12</f>
        <v>42306.537920000032</v>
      </c>
      <c r="C11" s="220">
        <f>Черн.!FJ12</f>
        <v>43757.389010000043</v>
      </c>
      <c r="D11" s="220">
        <v>0</v>
      </c>
      <c r="E11" s="220">
        <v>0</v>
      </c>
      <c r="F11" s="220">
        <f t="shared" si="0"/>
        <v>42306.537920000032</v>
      </c>
      <c r="G11" s="220">
        <f>Черн.!FI12</f>
        <v>39135.971619999997</v>
      </c>
      <c r="H11" s="220">
        <f t="shared" si="1"/>
        <v>43757.389010000043</v>
      </c>
      <c r="I11" s="220">
        <f>Черн.!FK12</f>
        <v>42658.029670000004</v>
      </c>
      <c r="J11" s="220">
        <f>Черн.!IT12</f>
        <v>14785.696889999999</v>
      </c>
      <c r="K11" s="220">
        <f>Черн.!IU12</f>
        <v>1476.6486</v>
      </c>
      <c r="L11" s="220">
        <f>Черн.!IV12</f>
        <v>24370.384099999999</v>
      </c>
      <c r="M11" s="220">
        <f>Черн.!IW12</f>
        <v>5.9223400000000002</v>
      </c>
      <c r="N11" s="220">
        <f t="shared" si="5"/>
        <v>2.8613151097810738</v>
      </c>
      <c r="O11" s="220">
        <f t="shared" si="2"/>
        <v>1.7955149508702264</v>
      </c>
      <c r="Q11" s="220">
        <f t="shared" si="3"/>
        <v>92.505729714883671</v>
      </c>
      <c r="R11" s="220">
        <f t="shared" si="4"/>
        <v>97.487602974325554</v>
      </c>
    </row>
    <row r="12" spans="1:18" x14ac:dyDescent="0.25">
      <c r="A12" s="219" t="s">
        <v>157</v>
      </c>
      <c r="B12" s="220">
        <f>Черн.!FH13</f>
        <v>19779.031650000019</v>
      </c>
      <c r="C12" s="220">
        <f>Черн.!FJ13</f>
        <v>19541.320569999982</v>
      </c>
      <c r="D12" s="220">
        <v>0</v>
      </c>
      <c r="E12" s="220">
        <v>0</v>
      </c>
      <c r="F12" s="220">
        <f t="shared" si="0"/>
        <v>19779.031650000019</v>
      </c>
      <c r="G12" s="220">
        <f>Черн.!FI13</f>
        <v>6893.3279599999996</v>
      </c>
      <c r="H12" s="220">
        <f t="shared" si="1"/>
        <v>19541.320569999982</v>
      </c>
      <c r="I12" s="220">
        <f>Черн.!FK13</f>
        <v>5800.2504200000003</v>
      </c>
      <c r="J12" s="220">
        <f>Черн.!IT13</f>
        <v>28291.363909999996</v>
      </c>
      <c r="K12" s="220">
        <f>Черн.!IU13</f>
        <v>10183.287700000001</v>
      </c>
      <c r="L12" s="220">
        <f>Черн.!IV13</f>
        <v>18951.585499999997</v>
      </c>
      <c r="M12" s="220">
        <f>Черн.!IW13</f>
        <v>6365.8887699999996</v>
      </c>
      <c r="N12" s="220">
        <f t="shared" si="5"/>
        <v>0.69911905671712171</v>
      </c>
      <c r="O12" s="220">
        <f t="shared" si="2"/>
        <v>1.0311179806037856</v>
      </c>
      <c r="Q12" s="220">
        <f t="shared" si="3"/>
        <v>34.851695886739698</v>
      </c>
      <c r="R12" s="220">
        <f t="shared" si="4"/>
        <v>29.681977731354547</v>
      </c>
    </row>
    <row r="13" spans="1:18" x14ac:dyDescent="0.25">
      <c r="A13" s="219" t="s">
        <v>158</v>
      </c>
      <c r="B13" s="220">
        <f>Черн.!FH14</f>
        <v>18465.904229999986</v>
      </c>
      <c r="C13" s="220">
        <f>Черн.!FJ14</f>
        <v>30093.914390000049</v>
      </c>
      <c r="D13" s="220">
        <v>0</v>
      </c>
      <c r="E13" s="220">
        <v>0</v>
      </c>
      <c r="F13" s="220">
        <f t="shared" si="0"/>
        <v>18465.904229999986</v>
      </c>
      <c r="G13" s="220">
        <f>Черн.!FI14</f>
        <v>17444.07387</v>
      </c>
      <c r="H13" s="220">
        <f t="shared" si="1"/>
        <v>30093.914390000049</v>
      </c>
      <c r="I13" s="220">
        <f>Черн.!FK14</f>
        <v>20219.252690000001</v>
      </c>
      <c r="J13" s="220">
        <f>Черн.!IT14</f>
        <v>25470.86189</v>
      </c>
      <c r="K13" s="220">
        <f>Черн.!IU14</f>
        <v>10557.56472</v>
      </c>
      <c r="L13" s="220">
        <f>Черн.!IV14</f>
        <v>22947.700260000001</v>
      </c>
      <c r="M13" s="220">
        <f>Черн.!IW14</f>
        <v>6159.7881200000002</v>
      </c>
      <c r="N13" s="220">
        <f t="shared" si="5"/>
        <v>0.72498152240579661</v>
      </c>
      <c r="O13" s="220">
        <f t="shared" si="2"/>
        <v>1.311413084929324</v>
      </c>
      <c r="Q13" s="220">
        <f t="shared" si="3"/>
        <v>94.466394132273763</v>
      </c>
      <c r="R13" s="220">
        <f t="shared" si="4"/>
        <v>67.187180863113923</v>
      </c>
    </row>
    <row r="14" spans="1:18" x14ac:dyDescent="0.25">
      <c r="A14" s="219" t="s">
        <v>159</v>
      </c>
      <c r="B14" s="220">
        <f>Черн.!FH15</f>
        <v>19848.227279999992</v>
      </c>
      <c r="C14" s="220">
        <f>Черн.!FJ15</f>
        <v>18185.537119999994</v>
      </c>
      <c r="D14" s="220">
        <v>13748.549800000153</v>
      </c>
      <c r="E14" s="220">
        <v>13490.666910000145</v>
      </c>
      <c r="F14" s="220">
        <f t="shared" si="0"/>
        <v>6099.6774799998384</v>
      </c>
      <c r="G14" s="220">
        <f>Черн.!FI15</f>
        <v>4176.5623100000003</v>
      </c>
      <c r="H14" s="220">
        <f t="shared" si="1"/>
        <v>4694.8702099998482</v>
      </c>
      <c r="I14" s="220">
        <f>Черн.!FK15</f>
        <v>3455.4686799999999</v>
      </c>
      <c r="J14" s="220">
        <f>Черн.!IT15</f>
        <v>5624.6877599999998</v>
      </c>
      <c r="K14" s="220">
        <f>Черн.!IU15</f>
        <v>0</v>
      </c>
      <c r="L14" s="220">
        <f>Черн.!IV15</f>
        <v>3880.3686500000003</v>
      </c>
      <c r="M14" s="220">
        <f>Черн.!IW15</f>
        <v>0</v>
      </c>
      <c r="N14" s="220">
        <f t="shared" si="5"/>
        <v>1.084447304502435</v>
      </c>
      <c r="O14" s="220">
        <f t="shared" si="2"/>
        <v>1.209903138971048</v>
      </c>
      <c r="Q14" s="220">
        <f t="shared" si="3"/>
        <v>68.471854843054928</v>
      </c>
      <c r="R14" s="220">
        <f t="shared" si="4"/>
        <v>73.600941568949395</v>
      </c>
    </row>
    <row r="15" spans="1:18" x14ac:dyDescent="0.25">
      <c r="A15" s="219" t="s">
        <v>160</v>
      </c>
      <c r="B15" s="220">
        <f>Черн.!FH16</f>
        <v>7369.1161599999759</v>
      </c>
      <c r="C15" s="220">
        <f>Черн.!FJ16</f>
        <v>7043.4992000001948</v>
      </c>
      <c r="D15" s="220">
        <v>0</v>
      </c>
      <c r="E15" s="220">
        <v>0</v>
      </c>
      <c r="F15" s="220">
        <f t="shared" si="0"/>
        <v>7369.1161599999759</v>
      </c>
      <c r="G15" s="220">
        <f>Черн.!FI16</f>
        <v>6363.7663199999997</v>
      </c>
      <c r="H15" s="220">
        <f t="shared" si="1"/>
        <v>7043.4992000001948</v>
      </c>
      <c r="I15" s="220">
        <f>Черн.!FK16</f>
        <v>2052.9590699999999</v>
      </c>
      <c r="J15" s="220">
        <f>Черн.!IT16</f>
        <v>10909.470300000001</v>
      </c>
      <c r="K15" s="220">
        <f>Черн.!IU16</f>
        <v>4432.4705899999999</v>
      </c>
      <c r="L15" s="220">
        <f>Черн.!IV16</f>
        <v>7317.4132300000001</v>
      </c>
      <c r="M15" s="220">
        <f>Черн.!IW16</f>
        <v>240.58280999999999</v>
      </c>
      <c r="N15" s="220">
        <f t="shared" si="5"/>
        <v>0.67547882320189045</v>
      </c>
      <c r="O15" s="220">
        <f t="shared" si="2"/>
        <v>0.9625668222648941</v>
      </c>
      <c r="Q15" s="220">
        <f t="shared" si="3"/>
        <v>86.357253459280798</v>
      </c>
      <c r="R15" s="220">
        <f t="shared" si="4"/>
        <v>29.146863110312314</v>
      </c>
    </row>
    <row r="16" spans="1:18" x14ac:dyDescent="0.25">
      <c r="A16" s="219" t="s">
        <v>161</v>
      </c>
      <c r="B16" s="220">
        <f>Черн.!FH17</f>
        <v>4792.2264000000432</v>
      </c>
      <c r="C16" s="220">
        <f>Черн.!FJ17</f>
        <v>5522.2741099999985</v>
      </c>
      <c r="D16" s="220">
        <v>1414.51800000004</v>
      </c>
      <c r="E16" s="220">
        <v>1298.6784000000916</v>
      </c>
      <c r="F16" s="220">
        <f t="shared" si="0"/>
        <v>3377.7084000000032</v>
      </c>
      <c r="G16" s="220">
        <f>Черн.!FI17</f>
        <v>2552.8753200000001</v>
      </c>
      <c r="H16" s="220">
        <f t="shared" si="1"/>
        <v>4223.5957099999068</v>
      </c>
      <c r="I16" s="220">
        <f>Черн.!FK17</f>
        <v>2900.0267699999999</v>
      </c>
      <c r="J16" s="220">
        <f>Черн.!IT17</f>
        <v>5765.3153799999991</v>
      </c>
      <c r="K16" s="220">
        <f>Черн.!IU17</f>
        <v>0</v>
      </c>
      <c r="L16" s="220">
        <f>Черн.!IV17</f>
        <v>4776.9948199999999</v>
      </c>
      <c r="M16" s="220">
        <f>Черн.!IW17</f>
        <v>0</v>
      </c>
      <c r="N16" s="220">
        <f t="shared" si="5"/>
        <v>0.58586706491675111</v>
      </c>
      <c r="O16" s="220">
        <f t="shared" si="2"/>
        <v>0.88415329493698447</v>
      </c>
      <c r="Q16" s="220">
        <f t="shared" si="3"/>
        <v>75.580098033329278</v>
      </c>
      <c r="R16" s="220">
        <f t="shared" si="4"/>
        <v>68.662508656636163</v>
      </c>
    </row>
    <row r="17" spans="1:18" x14ac:dyDescent="0.25">
      <c r="A17" s="219" t="s">
        <v>162</v>
      </c>
      <c r="B17" s="220">
        <f>Черн.!FH18</f>
        <v>9969.7847500000498</v>
      </c>
      <c r="C17" s="220">
        <f>Черн.!FJ18</f>
        <v>31789.861459999869</v>
      </c>
      <c r="D17" s="220">
        <v>10691.995710000105</v>
      </c>
      <c r="E17" s="220">
        <v>5610.8606399999117</v>
      </c>
      <c r="F17" s="220">
        <f t="shared" si="0"/>
        <v>-722.21096000005491</v>
      </c>
      <c r="G17" s="220">
        <f>Черн.!FI18</f>
        <v>7473.4609600000003</v>
      </c>
      <c r="H17" s="220">
        <f t="shared" si="1"/>
        <v>26179.000819999957</v>
      </c>
      <c r="I17" s="220">
        <f>Черн.!FK18</f>
        <v>5985.26433</v>
      </c>
      <c r="J17" s="220">
        <f>Черн.!IT18</f>
        <v>12765.128489999999</v>
      </c>
      <c r="K17" s="220">
        <f>Черн.!IU18</f>
        <v>2028.9958499999998</v>
      </c>
      <c r="L17" s="220">
        <f>Черн.!IV18</f>
        <v>11241.437910000001</v>
      </c>
      <c r="M17" s="220">
        <f>Черн.!IW18</f>
        <v>2095.9237899999998</v>
      </c>
      <c r="N17" s="503">
        <f t="shared" si="5"/>
        <v>-5.6576865682615232E-2</v>
      </c>
      <c r="O17" s="220">
        <f t="shared" si="2"/>
        <v>2.3287946817472531</v>
      </c>
      <c r="Q17" s="220">
        <f>G17/F17%</f>
        <v>-1034.8030387131528</v>
      </c>
      <c r="R17" s="220">
        <f t="shared" si="4"/>
        <v>22.862844808910509</v>
      </c>
    </row>
    <row r="18" spans="1:18" x14ac:dyDescent="0.25">
      <c r="A18" s="219" t="s">
        <v>163</v>
      </c>
      <c r="B18" s="220">
        <f>Черн.!FH19</f>
        <v>64102.290769999963</v>
      </c>
      <c r="C18" s="220">
        <f>Черн.!FJ19</f>
        <v>260910.31439000013</v>
      </c>
      <c r="D18" s="220">
        <v>624.54905000014696</v>
      </c>
      <c r="E18" s="220">
        <v>1374.7213800001773</v>
      </c>
      <c r="F18" s="220">
        <f t="shared" si="0"/>
        <v>63477.741719999816</v>
      </c>
      <c r="G18" s="220">
        <f>Черн.!FI19</f>
        <v>60110.872230000001</v>
      </c>
      <c r="H18" s="220">
        <f t="shared" si="1"/>
        <v>259535.59300999995</v>
      </c>
      <c r="I18" s="220">
        <f>Черн.!FK19</f>
        <v>65050.940490000001</v>
      </c>
      <c r="J18" s="220">
        <f>Черн.!IT19</f>
        <v>11486.51326</v>
      </c>
      <c r="K18" s="220">
        <f>Черн.!IU19</f>
        <v>1002.79221</v>
      </c>
      <c r="L18" s="220">
        <f>Черн.!IV19</f>
        <v>10743.767959999999</v>
      </c>
      <c r="M18" s="220">
        <f>Черн.!IW19</f>
        <v>0</v>
      </c>
      <c r="N18" s="503">
        <f t="shared" si="5"/>
        <v>5.5262846333927289</v>
      </c>
      <c r="O18" s="503">
        <f t="shared" si="2"/>
        <v>24.156850182940843</v>
      </c>
      <c r="Q18" s="220">
        <f t="shared" si="3"/>
        <v>94.695984137477566</v>
      </c>
      <c r="R18" s="220">
        <f t="shared" si="4"/>
        <v>25.064361976545381</v>
      </c>
    </row>
    <row r="19" spans="1:18" x14ac:dyDescent="0.25">
      <c r="A19" s="219" t="s">
        <v>164</v>
      </c>
      <c r="B19" s="220">
        <f>Черн.!FH20</f>
        <v>64722.554059999995</v>
      </c>
      <c r="C19" s="220">
        <f>Черн.!FJ20</f>
        <v>50055.824400000274</v>
      </c>
      <c r="D19" s="220">
        <v>425.18262000009418</v>
      </c>
      <c r="E19" s="220">
        <v>422.08979000011459</v>
      </c>
      <c r="F19" s="220">
        <f t="shared" si="0"/>
        <v>64297.371439999901</v>
      </c>
      <c r="G19" s="220">
        <f>Черн.!FI20</f>
        <v>22763.508709999998</v>
      </c>
      <c r="H19" s="220">
        <f t="shared" si="1"/>
        <v>49633.73461000016</v>
      </c>
      <c r="I19" s="220">
        <f>Черн.!FK20</f>
        <v>24248.764500000001</v>
      </c>
      <c r="J19" s="220">
        <f>Черн.!IT20</f>
        <v>17165.861290000001</v>
      </c>
      <c r="K19" s="220">
        <f>Черн.!IU20</f>
        <v>301.46201000000002</v>
      </c>
      <c r="L19" s="220">
        <f>Черн.!IV20</f>
        <v>70770.121620000005</v>
      </c>
      <c r="M19" s="220">
        <f>Черн.!IW20</f>
        <v>1659.63903</v>
      </c>
      <c r="N19" s="220">
        <f t="shared" si="5"/>
        <v>3.7456536758488452</v>
      </c>
      <c r="O19" s="220">
        <f t="shared" si="2"/>
        <v>0.70133742141222222</v>
      </c>
      <c r="Q19" s="220">
        <f t="shared" si="3"/>
        <v>35.403482599972413</v>
      </c>
      <c r="R19" s="220">
        <f t="shared" si="4"/>
        <v>48.855409915324771</v>
      </c>
    </row>
    <row r="20" spans="1:18" x14ac:dyDescent="0.25">
      <c r="A20" s="219" t="s">
        <v>165</v>
      </c>
      <c r="B20" s="220">
        <f>Черн.!FH21</f>
        <v>54012.988989999983</v>
      </c>
      <c r="C20" s="220">
        <f>Черн.!FJ21</f>
        <v>24518.779140000232</v>
      </c>
      <c r="D20" s="220">
        <v>626.21983999991789</v>
      </c>
      <c r="E20" s="220">
        <v>466.10223999992013</v>
      </c>
      <c r="F20" s="220">
        <f t="shared" si="0"/>
        <v>53386.769150000066</v>
      </c>
      <c r="G20" s="220">
        <f>Черн.!FI21</f>
        <v>12619.262009999999</v>
      </c>
      <c r="H20" s="220">
        <f t="shared" si="1"/>
        <v>24052.676900000311</v>
      </c>
      <c r="I20" s="220">
        <f>Черн.!FK21</f>
        <v>14763.49324</v>
      </c>
      <c r="J20" s="220">
        <f>Черн.!IT21</f>
        <v>10956.714529999999</v>
      </c>
      <c r="K20" s="220">
        <f>Черн.!IU21</f>
        <v>0</v>
      </c>
      <c r="L20" s="220">
        <f>Черн.!IV21</f>
        <v>7594.0701699999991</v>
      </c>
      <c r="M20" s="220">
        <f>Черн.!IW21</f>
        <v>0</v>
      </c>
      <c r="N20" s="220">
        <f t="shared" si="5"/>
        <v>4.8725162094736136</v>
      </c>
      <c r="O20" s="220">
        <f t="shared" si="2"/>
        <v>3.1672971623332149</v>
      </c>
      <c r="Q20" s="220">
        <f t="shared" si="3"/>
        <v>23.637433414529792</v>
      </c>
      <c r="R20" s="220">
        <f t="shared" si="4"/>
        <v>61.379834358477609</v>
      </c>
    </row>
    <row r="21" spans="1:18" x14ac:dyDescent="0.25">
      <c r="A21" s="219" t="s">
        <v>166</v>
      </c>
      <c r="B21" s="220">
        <f>Черн.!FH22</f>
        <v>73038.367790000048</v>
      </c>
      <c r="C21" s="220">
        <f>Черн.!FJ22</f>
        <v>77308.817289999686</v>
      </c>
      <c r="D21" s="220">
        <v>0</v>
      </c>
      <c r="E21" s="220">
        <v>0</v>
      </c>
      <c r="F21" s="220">
        <f t="shared" si="0"/>
        <v>73038.367790000048</v>
      </c>
      <c r="G21" s="220">
        <f>Черн.!FI22</f>
        <v>41232.15438</v>
      </c>
      <c r="H21" s="220">
        <f t="shared" si="1"/>
        <v>77308.817289999686</v>
      </c>
      <c r="I21" s="220">
        <f>Черн.!FK22</f>
        <v>38452.333250000003</v>
      </c>
      <c r="J21" s="220">
        <f>Черн.!IT22</f>
        <v>105920.44163</v>
      </c>
      <c r="K21" s="220">
        <f>Черн.!IU22</f>
        <v>11609.995849999999</v>
      </c>
      <c r="L21" s="220">
        <f>Черн.!IV22</f>
        <v>98743.194730000003</v>
      </c>
      <c r="M21" s="220">
        <f>Черн.!IW22</f>
        <v>7451.6330500000004</v>
      </c>
      <c r="N21" s="220">
        <f t="shared" si="5"/>
        <v>0.68955875434448044</v>
      </c>
      <c r="O21" s="220">
        <f t="shared" si="2"/>
        <v>0.78292805394225151</v>
      </c>
      <c r="Q21" s="220">
        <f>G21/F21%</f>
        <v>56.4527324851381</v>
      </c>
      <c r="R21" s="220">
        <f t="shared" si="4"/>
        <v>49.738612745501179</v>
      </c>
    </row>
    <row r="22" spans="1:18" x14ac:dyDescent="0.25">
      <c r="A22" s="219" t="s">
        <v>167</v>
      </c>
      <c r="B22" s="220">
        <f>Черн.!FH23</f>
        <v>74456.218200000003</v>
      </c>
      <c r="C22" s="220">
        <f>Черн.!FJ23</f>
        <v>68474.080990000162</v>
      </c>
      <c r="D22" s="220">
        <v>1984.2049400000833</v>
      </c>
      <c r="E22" s="220">
        <v>2077.3582200002857</v>
      </c>
      <c r="F22" s="220">
        <f t="shared" si="0"/>
        <v>72472.01325999992</v>
      </c>
      <c r="G22" s="220">
        <f>Черн.!FI23</f>
        <v>22827.812860000002</v>
      </c>
      <c r="H22" s="220">
        <f t="shared" si="1"/>
        <v>66396.722769999877</v>
      </c>
      <c r="I22" s="220">
        <f>Черн.!FK23</f>
        <v>15806.032279999999</v>
      </c>
      <c r="J22" s="220">
        <f>Черн.!IT23</f>
        <v>29191.484960000002</v>
      </c>
      <c r="K22" s="220">
        <f>Черн.!IU23</f>
        <v>3638.9629199999999</v>
      </c>
      <c r="L22" s="220">
        <f>Черн.!IV23</f>
        <v>24123.336460000002</v>
      </c>
      <c r="M22" s="220">
        <f>Черн.!IW23</f>
        <v>3638.9629199999999</v>
      </c>
      <c r="N22" s="220">
        <f t="shared" si="5"/>
        <v>2.4826422280094897</v>
      </c>
      <c r="O22" s="220">
        <f t="shared" si="2"/>
        <v>2.7523855533041748</v>
      </c>
      <c r="Q22" s="220">
        <f t="shared" si="3"/>
        <v>31.49879771947711</v>
      </c>
      <c r="R22" s="220">
        <f t="shared" si="4"/>
        <v>23.805440420233605</v>
      </c>
    </row>
    <row r="23" spans="1:18" x14ac:dyDescent="0.25">
      <c r="A23" s="219" t="s">
        <v>168</v>
      </c>
      <c r="B23" s="220">
        <f>Черн.!FH24</f>
        <v>122561.49818000011</v>
      </c>
      <c r="C23" s="220">
        <f>Черн.!FJ24</f>
        <v>258008.92674000026</v>
      </c>
      <c r="D23" s="220">
        <v>19796.829399999697</v>
      </c>
      <c r="E23" s="220">
        <v>20942.592419999419</v>
      </c>
      <c r="F23" s="220">
        <f t="shared" si="0"/>
        <v>102764.66878000041</v>
      </c>
      <c r="G23" s="220">
        <f>Черн.!FI24</f>
        <v>31694.511330000001</v>
      </c>
      <c r="H23" s="220">
        <f t="shared" si="1"/>
        <v>237066.33432000084</v>
      </c>
      <c r="I23" s="220">
        <f>Черн.!FK24</f>
        <v>32978.516640000002</v>
      </c>
      <c r="J23" s="220">
        <f>Черн.!IT24</f>
        <v>54140.984510000002</v>
      </c>
      <c r="K23" s="220">
        <f>Черн.!IU24</f>
        <v>79.667019999999994</v>
      </c>
      <c r="L23" s="220">
        <f>Черн.!IV24</f>
        <v>16591.824400000001</v>
      </c>
      <c r="M23" s="220">
        <f>Черн.!IW24</f>
        <v>73.598100000000002</v>
      </c>
      <c r="N23" s="220">
        <f t="shared" si="5"/>
        <v>1.8980938324278065</v>
      </c>
      <c r="O23" s="503">
        <f t="shared" si="2"/>
        <v>14.288141472857006</v>
      </c>
      <c r="Q23" s="220">
        <f t="shared" si="3"/>
        <v>30.841836699587784</v>
      </c>
      <c r="R23" s="220">
        <f t="shared" si="4"/>
        <v>13.911092325527921</v>
      </c>
    </row>
    <row r="24" spans="1:18" x14ac:dyDescent="0.25">
      <c r="A24" s="219" t="s">
        <v>169</v>
      </c>
      <c r="B24" s="220">
        <f>Черн.!FH25</f>
        <v>43077.126439999789</v>
      </c>
      <c r="C24" s="220">
        <f>Черн.!FJ25</f>
        <v>35879.432230000006</v>
      </c>
      <c r="D24" s="220">
        <v>15121.993139999919</v>
      </c>
      <c r="E24" s="220">
        <v>15538.747490000067</v>
      </c>
      <c r="F24" s="220">
        <f t="shared" si="0"/>
        <v>27955.13329999987</v>
      </c>
      <c r="G24" s="220">
        <f>Черн.!FI25</f>
        <v>18291.034060000002</v>
      </c>
      <c r="H24" s="220">
        <f t="shared" si="1"/>
        <v>20340.684739999939</v>
      </c>
      <c r="I24" s="220">
        <f>Черн.!FK25</f>
        <v>19201.069459999999</v>
      </c>
      <c r="J24" s="220">
        <f>Черн.!IT25</f>
        <v>11961.241900000001</v>
      </c>
      <c r="K24" s="220">
        <f>Черн.!IU25</f>
        <v>0</v>
      </c>
      <c r="L24" s="220">
        <f>Черн.!IV25</f>
        <v>26711.983609999999</v>
      </c>
      <c r="M24" s="220">
        <f>Черн.!IW25</f>
        <v>0</v>
      </c>
      <c r="N24" s="220">
        <f t="shared" si="5"/>
        <v>2.3371430436499967</v>
      </c>
      <c r="O24" s="220">
        <f t="shared" si="2"/>
        <v>0.76148162700972621</v>
      </c>
      <c r="Q24" s="220">
        <f t="shared" si="3"/>
        <v>65.429965451104067</v>
      </c>
      <c r="R24" s="220">
        <f t="shared" si="4"/>
        <v>94.397360292601718</v>
      </c>
    </row>
    <row r="25" spans="1:18" x14ac:dyDescent="0.25">
      <c r="A25" s="219" t="s">
        <v>170</v>
      </c>
      <c r="B25" s="220">
        <f>Черн.!FH26</f>
        <v>18257.031609999947</v>
      </c>
      <c r="C25" s="220">
        <f>Черн.!FJ26</f>
        <v>26168.989419999998</v>
      </c>
      <c r="D25" s="220">
        <v>0</v>
      </c>
      <c r="E25" s="220">
        <v>0</v>
      </c>
      <c r="F25" s="220">
        <f t="shared" si="0"/>
        <v>18257.031609999947</v>
      </c>
      <c r="G25" s="220">
        <f>Черн.!FI26</f>
        <v>9228.2856800000009</v>
      </c>
      <c r="H25" s="220">
        <f t="shared" si="1"/>
        <v>26168.989419999998</v>
      </c>
      <c r="I25" s="220">
        <f>Черн.!FK26</f>
        <v>7680.3602099999998</v>
      </c>
      <c r="J25" s="220">
        <f>Черн.!IT26</f>
        <v>6083.8021899999985</v>
      </c>
      <c r="K25" s="220">
        <f>Черн.!IU26</f>
        <v>0</v>
      </c>
      <c r="L25" s="220">
        <f>Черн.!IV26</f>
        <v>6544.2101500000008</v>
      </c>
      <c r="M25" s="220">
        <f>Черн.!IW26</f>
        <v>9.1499999999999998E-2</v>
      </c>
      <c r="N25" s="220">
        <f t="shared" si="5"/>
        <v>3.0009245928490569</v>
      </c>
      <c r="O25" s="220">
        <f t="shared" si="2"/>
        <v>3.9988002860818881</v>
      </c>
      <c r="Q25" s="220">
        <f t="shared" si="3"/>
        <v>50.54647369370484</v>
      </c>
      <c r="R25" s="220">
        <f t="shared" si="4"/>
        <v>29.349089820526974</v>
      </c>
    </row>
    <row r="26" spans="1:18" x14ac:dyDescent="0.25">
      <c r="A26" s="219" t="s">
        <v>171</v>
      </c>
      <c r="B26" s="220">
        <f>Черн.!FH27</f>
        <v>3811449.8711800026</v>
      </c>
      <c r="C26" s="220">
        <f>Черн.!FJ27</f>
        <v>2616380.5683099991</v>
      </c>
      <c r="D26" s="220">
        <v>1696649.8761900002</v>
      </c>
      <c r="E26" s="220">
        <v>1661328.504399999</v>
      </c>
      <c r="F26" s="220">
        <f t="shared" si="0"/>
        <v>2114799.9949900024</v>
      </c>
      <c r="G26" s="220">
        <f>Черн.!FI27</f>
        <v>1704058.3962099999</v>
      </c>
      <c r="H26" s="220">
        <f t="shared" si="1"/>
        <v>955052.06391000003</v>
      </c>
      <c r="I26" s="220">
        <f>Черн.!FK27</f>
        <v>502820.86349999998</v>
      </c>
      <c r="J26" s="220">
        <f>Черн.!IT27</f>
        <v>205555.58854</v>
      </c>
      <c r="K26" s="220">
        <f>Черн.!IU27</f>
        <v>1380.6904999999999</v>
      </c>
      <c r="L26" s="220">
        <f>Черн.!IV27</f>
        <v>245339.41950999998</v>
      </c>
      <c r="M26" s="220">
        <f>Черн.!IW27</f>
        <v>64.650980000000004</v>
      </c>
      <c r="N26" s="503">
        <f t="shared" si="5"/>
        <v>10.288214540946299</v>
      </c>
      <c r="O26" s="220">
        <f t="shared" si="2"/>
        <v>3.8927786892846723</v>
      </c>
      <c r="Q26" s="220">
        <f t="shared" si="3"/>
        <v>80.577756773545659</v>
      </c>
      <c r="R26" s="220">
        <f t="shared" si="4"/>
        <v>52.648529069864779</v>
      </c>
    </row>
    <row r="27" spans="1:18" x14ac:dyDescent="0.25">
      <c r="A27" s="219" t="s">
        <v>172</v>
      </c>
      <c r="B27" s="220">
        <f>Черн.!FH28</f>
        <v>544066.6985299997</v>
      </c>
      <c r="C27" s="220">
        <f>Черн.!FJ28</f>
        <v>398368.84265999962</v>
      </c>
      <c r="D27" s="220">
        <v>331251.96725999936</v>
      </c>
      <c r="E27" s="220">
        <v>233824.24765999895</v>
      </c>
      <c r="F27" s="220">
        <f t="shared" si="0"/>
        <v>212814.73127000034</v>
      </c>
      <c r="G27" s="220">
        <f>Черн.!FI28</f>
        <v>173638.22446</v>
      </c>
      <c r="H27" s="220">
        <f t="shared" si="1"/>
        <v>164544.59500000067</v>
      </c>
      <c r="I27" s="220">
        <f>Черн.!FK28</f>
        <v>144965.56325000001</v>
      </c>
      <c r="J27" s="220">
        <f>Черн.!IT28</f>
        <v>177032.60821999999</v>
      </c>
      <c r="K27" s="220">
        <f>Черн.!IU28</f>
        <v>0</v>
      </c>
      <c r="L27" s="220">
        <f>Черн.!IV28</f>
        <v>107880.32961999999</v>
      </c>
      <c r="M27" s="220">
        <f>Черн.!IW28</f>
        <v>0</v>
      </c>
      <c r="N27" s="220">
        <f t="shared" si="5"/>
        <v>1.202121650975924</v>
      </c>
      <c r="O27" s="220">
        <f t="shared" si="2"/>
        <v>1.5252511331731755</v>
      </c>
      <c r="Q27" s="220">
        <f t="shared" si="3"/>
        <v>81.591261762656501</v>
      </c>
      <c r="R27" s="220">
        <f t="shared" si="4"/>
        <v>88.101078768342049</v>
      </c>
    </row>
    <row r="28" spans="1:18" x14ac:dyDescent="0.25">
      <c r="A28" s="219" t="s">
        <v>173</v>
      </c>
      <c r="B28" s="220">
        <f>Черн.!FH29</f>
        <v>341622.83438999951</v>
      </c>
      <c r="C28" s="220">
        <f>Черн.!FJ29</f>
        <v>662541.36447000015</v>
      </c>
      <c r="D28" s="220">
        <v>306843.08299000002</v>
      </c>
      <c r="E28" s="220">
        <v>635790.67539999983</v>
      </c>
      <c r="F28" s="220">
        <f t="shared" si="0"/>
        <v>34779.751399999484</v>
      </c>
      <c r="G28" s="220">
        <f>Черн.!FI29</f>
        <v>75123.3217</v>
      </c>
      <c r="H28" s="220">
        <f t="shared" si="1"/>
        <v>26750.689070000313</v>
      </c>
      <c r="I28" s="220">
        <f>Черн.!FK29</f>
        <v>90342.513319999998</v>
      </c>
      <c r="J28" s="220">
        <f>Черн.!IT29</f>
        <v>52234.457519999996</v>
      </c>
      <c r="K28" s="220">
        <f>Черн.!IU29</f>
        <v>0</v>
      </c>
      <c r="L28" s="220">
        <f>Черн.!IV29</f>
        <v>43964.2215</v>
      </c>
      <c r="M28" s="220">
        <f>Черн.!IW29</f>
        <v>2.1700000000000001E-3</v>
      </c>
      <c r="N28" s="220">
        <f t="shared" si="5"/>
        <v>0.6658392381443361</v>
      </c>
      <c r="O28" s="220">
        <f>H28/L28</f>
        <v>0.60846497805039745</v>
      </c>
      <c r="Q28" s="220">
        <f t="shared" si="3"/>
        <v>215.99729347116929</v>
      </c>
      <c r="R28" s="220">
        <f t="shared" si="4"/>
        <v>337.72032220775594</v>
      </c>
    </row>
    <row r="29" spans="1:18" x14ac:dyDescent="0.25">
      <c r="A29" s="219" t="s">
        <v>174</v>
      </c>
      <c r="B29" s="220">
        <f>Черн.!FH30</f>
        <v>42141.022000000114</v>
      </c>
      <c r="C29" s="220">
        <f>Черн.!FJ30</f>
        <v>39073.089840000204</v>
      </c>
      <c r="D29" s="220">
        <v>27217.863120000111</v>
      </c>
      <c r="E29" s="220">
        <v>20464.000000000175</v>
      </c>
      <c r="F29" s="220">
        <f t="shared" si="0"/>
        <v>14923.158880000003</v>
      </c>
      <c r="G29" s="220">
        <f>Черн.!FI30</f>
        <v>9565.7274899999993</v>
      </c>
      <c r="H29" s="220">
        <f t="shared" si="1"/>
        <v>18609.08984000003</v>
      </c>
      <c r="I29" s="220">
        <f>Черн.!FK30</f>
        <v>10047.480509999999</v>
      </c>
      <c r="J29" s="220">
        <f>Черн.!IT30</f>
        <v>51730.921199999997</v>
      </c>
      <c r="K29" s="220">
        <f>Черн.!IU30</f>
        <v>0</v>
      </c>
      <c r="L29" s="220">
        <f>Черн.!IV30</f>
        <v>24234.233060000002</v>
      </c>
      <c r="M29" s="220">
        <f>Черн.!IW30</f>
        <v>0</v>
      </c>
      <c r="N29" s="220">
        <f t="shared" si="5"/>
        <v>0.2884765732723894</v>
      </c>
      <c r="O29" s="220">
        <f t="shared" si="2"/>
        <v>0.76788441350411063</v>
      </c>
      <c r="Q29" s="220">
        <f t="shared" si="3"/>
        <v>64.099883723813832</v>
      </c>
      <c r="R29" s="220">
        <f t="shared" si="4"/>
        <v>53.992326311430091</v>
      </c>
    </row>
    <row r="30" spans="1:18" x14ac:dyDescent="0.25">
      <c r="A30" s="219" t="s">
        <v>175</v>
      </c>
      <c r="B30" s="220">
        <f>Черн.!FH31</f>
        <v>16489.263510000201</v>
      </c>
      <c r="C30" s="220">
        <f>Черн.!FJ31</f>
        <v>16149.253769999952</v>
      </c>
      <c r="D30" s="220">
        <v>7.2759576141834259E-12</v>
      </c>
      <c r="E30" s="220">
        <v>1.1641532182693481E-10</v>
      </c>
      <c r="F30" s="220">
        <f t="shared" si="0"/>
        <v>16489.263510000193</v>
      </c>
      <c r="G30" s="220">
        <f>Черн.!FI31</f>
        <v>12075.07101</v>
      </c>
      <c r="H30" s="220">
        <f t="shared" si="1"/>
        <v>16149.253769999836</v>
      </c>
      <c r="I30" s="220">
        <f>Черн.!FK31</f>
        <v>13216.59267</v>
      </c>
      <c r="J30" s="220">
        <f>Черн.!IT31</f>
        <v>35205.701939999999</v>
      </c>
      <c r="K30" s="220">
        <f>Черн.!IU31</f>
        <v>0</v>
      </c>
      <c r="L30" s="220">
        <f>Черн.!IV31</f>
        <v>12343.93642</v>
      </c>
      <c r="M30" s="220">
        <f>Черн.!IW31</f>
        <v>0</v>
      </c>
      <c r="N30" s="220">
        <f t="shared" si="5"/>
        <v>0.46836911640342638</v>
      </c>
      <c r="O30" s="220">
        <f t="shared" si="2"/>
        <v>1.3082742182497271</v>
      </c>
      <c r="Q30" s="220">
        <f t="shared" si="3"/>
        <v>73.229898974425794</v>
      </c>
      <c r="R30" s="220">
        <f t="shared" si="4"/>
        <v>81.840268647906285</v>
      </c>
    </row>
    <row r="31" spans="1:18" x14ac:dyDescent="0.25">
      <c r="A31" s="219" t="s">
        <v>176</v>
      </c>
      <c r="B31" s="220">
        <f>Черн.!FH32</f>
        <v>86342.44579999987</v>
      </c>
      <c r="C31" s="220">
        <f>Черн.!FJ32</f>
        <v>215043.42531999969</v>
      </c>
      <c r="D31" s="220">
        <v>3394.9864399996586</v>
      </c>
      <c r="E31" s="220">
        <v>188923.14363999967</v>
      </c>
      <c r="F31" s="220">
        <f t="shared" si="0"/>
        <v>82947.459360000212</v>
      </c>
      <c r="G31" s="220">
        <f>Черн.!FI32</f>
        <v>72100.28585</v>
      </c>
      <c r="H31" s="220">
        <f t="shared" si="1"/>
        <v>26120.281680000015</v>
      </c>
      <c r="I31" s="220">
        <f>Черн.!FK32</f>
        <v>19440.289840000001</v>
      </c>
      <c r="J31" s="220">
        <f>Черн.!IT32</f>
        <v>24833.539430000001</v>
      </c>
      <c r="K31" s="220">
        <f>Черн.!IU32</f>
        <v>0</v>
      </c>
      <c r="L31" s="220">
        <f>Черн.!IV32</f>
        <v>15933.168439999999</v>
      </c>
      <c r="M31" s="220">
        <f>Черн.!IW32</f>
        <v>0</v>
      </c>
      <c r="N31" s="220">
        <f t="shared" si="5"/>
        <v>3.3401384282659303</v>
      </c>
      <c r="O31" s="220">
        <f t="shared" si="2"/>
        <v>1.639365188309025</v>
      </c>
      <c r="Q31" s="220">
        <f t="shared" si="3"/>
        <v>86.922838151169401</v>
      </c>
      <c r="R31" s="220">
        <f t="shared" si="4"/>
        <v>74.426034443898033</v>
      </c>
    </row>
    <row r="32" spans="1:18" x14ac:dyDescent="0.25">
      <c r="A32" s="219" t="s">
        <v>177</v>
      </c>
      <c r="B32" s="220">
        <f>Черн.!FH33</f>
        <v>5782.5013399999989</v>
      </c>
      <c r="C32" s="220">
        <f>Черн.!FJ33</f>
        <v>5623.996189999998</v>
      </c>
      <c r="D32" s="220">
        <v>0</v>
      </c>
      <c r="E32" s="220">
        <v>0</v>
      </c>
      <c r="F32" s="220">
        <f t="shared" si="0"/>
        <v>5782.5013399999989</v>
      </c>
      <c r="G32" s="220">
        <f>Черн.!FI33</f>
        <v>0</v>
      </c>
      <c r="H32" s="220">
        <f t="shared" si="1"/>
        <v>5623.996189999998</v>
      </c>
      <c r="I32" s="220">
        <f>Черн.!FK33</f>
        <v>0</v>
      </c>
      <c r="J32" s="220">
        <f>Черн.!IT33</f>
        <v>1481.2471499999999</v>
      </c>
      <c r="K32" s="220">
        <f>Черн.!IU33</f>
        <v>0</v>
      </c>
      <c r="L32" s="220">
        <f>Черн.!IV33</f>
        <v>962.84614999999997</v>
      </c>
      <c r="M32" s="220">
        <f>Черн.!IW33</f>
        <v>0</v>
      </c>
      <c r="N32" s="220">
        <f t="shared" si="5"/>
        <v>3.903805884115962</v>
      </c>
      <c r="O32" s="503">
        <f t="shared" si="2"/>
        <v>5.8410122842574568</v>
      </c>
      <c r="Q32" s="220">
        <f t="shared" si="3"/>
        <v>0</v>
      </c>
      <c r="R32" s="220">
        <f t="shared" si="4"/>
        <v>0</v>
      </c>
    </row>
    <row r="33" spans="1:22" s="179" customFormat="1" x14ac:dyDescent="0.25">
      <c r="A33" s="479" t="s">
        <v>178</v>
      </c>
      <c r="B33" s="247">
        <f>SUM(B7:B32)</f>
        <v>5834766.6854800014</v>
      </c>
      <c r="C33" s="247">
        <f t="shared" ref="C33:V33" si="6">SUM(C7:C32)</f>
        <v>5213458.7993000001</v>
      </c>
      <c r="D33" s="247">
        <f t="shared" si="6"/>
        <v>2700093.422879999</v>
      </c>
      <c r="E33" s="247">
        <f t="shared" si="6"/>
        <v>3024807.0560199972</v>
      </c>
      <c r="F33" s="247">
        <f t="shared" si="6"/>
        <v>3134673.2626000023</v>
      </c>
      <c r="G33" s="247">
        <f t="shared" ref="G33" si="7">SUM(G7:G32)</f>
        <v>2395429.9777000002</v>
      </c>
      <c r="H33" s="247">
        <f t="shared" ref="H33" si="8">SUM(H7:H32)</f>
        <v>2188651.7432800015</v>
      </c>
      <c r="I33" s="247">
        <f t="shared" ref="I33" si="9">SUM(I7:I32)</f>
        <v>1126523.9726199999</v>
      </c>
      <c r="J33" s="247">
        <f t="shared" ref="J33" si="10">SUM(J7:J32)</f>
        <v>978351.37100999977</v>
      </c>
      <c r="K33" s="247">
        <f t="shared" ref="K33" si="11">SUM(K7:K32)</f>
        <v>50975.98631</v>
      </c>
      <c r="L33" s="247">
        <f t="shared" ref="L33:M33" si="12">SUM(L7:L32)</f>
        <v>867551.24508999998</v>
      </c>
      <c r="M33" s="247">
        <f t="shared" si="12"/>
        <v>27769.170599999998</v>
      </c>
      <c r="N33" s="247">
        <f t="shared" si="5"/>
        <v>3.2040362547495862</v>
      </c>
      <c r="O33" s="247">
        <f t="shared" si="2"/>
        <v>2.5227924640381909</v>
      </c>
      <c r="P33" s="247">
        <f t="shared" si="6"/>
        <v>0</v>
      </c>
      <c r="Q33" s="179">
        <f t="shared" si="3"/>
        <v>76.417214077142788</v>
      </c>
      <c r="R33" s="179">
        <f t="shared" si="4"/>
        <v>51.471138616678495</v>
      </c>
      <c r="S33" s="247">
        <f t="shared" si="6"/>
        <v>0</v>
      </c>
      <c r="T33" s="247">
        <f t="shared" si="6"/>
        <v>0</v>
      </c>
      <c r="U33" s="247">
        <f t="shared" si="6"/>
        <v>0</v>
      </c>
      <c r="V33" s="247">
        <f t="shared" si="6"/>
        <v>0</v>
      </c>
    </row>
    <row r="34" spans="1:22" x14ac:dyDescent="0.25">
      <c r="A34" s="219" t="s">
        <v>609</v>
      </c>
      <c r="B34" s="220">
        <f>Черн.!FH35</f>
        <v>90767607.616549999</v>
      </c>
      <c r="C34" s="220">
        <f>Черн.!FJ35</f>
        <v>123150945.74005</v>
      </c>
      <c r="D34" s="220">
        <v>86160678.592749998</v>
      </c>
      <c r="E34" s="220">
        <v>118324118.11179</v>
      </c>
      <c r="F34" s="220">
        <f t="shared" ref="F34" si="13">B34-D34</f>
        <v>4606929.0238000005</v>
      </c>
      <c r="G34" s="220">
        <f>Черн.!FI35</f>
        <v>1627734.07544</v>
      </c>
      <c r="H34" s="220">
        <f t="shared" ref="H34" si="14">C34-E34</f>
        <v>4826827.6282600015</v>
      </c>
      <c r="I34" s="220">
        <f>Черн.!FK35</f>
        <v>1027704.92203</v>
      </c>
      <c r="J34" s="220">
        <f>Черн.!IT35</f>
        <v>12512646.00419</v>
      </c>
      <c r="K34" s="220">
        <f>Черн.!IU35</f>
        <v>0</v>
      </c>
      <c r="L34" s="220">
        <f>Черн.!IV35</f>
        <v>18477543.46266</v>
      </c>
      <c r="M34" s="220">
        <f>Черн.!IW35</f>
        <v>0.20200000000000001</v>
      </c>
      <c r="N34" s="179">
        <f t="shared" si="5"/>
        <v>0.36818183957712214</v>
      </c>
      <c r="O34" s="220">
        <f t="shared" si="2"/>
        <v>0.26122669596281595</v>
      </c>
      <c r="Q34" s="220">
        <f t="shared" si="3"/>
        <v>35.332301996208578</v>
      </c>
      <c r="R34" s="220">
        <f t="shared" si="4"/>
        <v>21.291519009566787</v>
      </c>
    </row>
    <row r="35" spans="1:22" s="179" customFormat="1" x14ac:dyDescent="0.25">
      <c r="A35" s="479" t="s">
        <v>610</v>
      </c>
      <c r="B35" s="247">
        <f>B33+B34</f>
        <v>96602374.302029997</v>
      </c>
      <c r="C35" s="247">
        <f t="shared" ref="C35:V35" si="15">C33+C34</f>
        <v>128364404.53935</v>
      </c>
      <c r="D35" s="247">
        <f t="shared" si="15"/>
        <v>88860772.015629992</v>
      </c>
      <c r="E35" s="247">
        <f t="shared" si="15"/>
        <v>121348925.16780999</v>
      </c>
      <c r="F35" s="247">
        <f t="shared" si="15"/>
        <v>7741602.2864000034</v>
      </c>
      <c r="G35" s="247">
        <f t="shared" ref="G35" si="16">G33+G34</f>
        <v>4023164.0531400004</v>
      </c>
      <c r="H35" s="247">
        <f t="shared" ref="H35" si="17">H33+H34</f>
        <v>7015479.3715400025</v>
      </c>
      <c r="I35" s="247">
        <f t="shared" ref="I35" si="18">I33+I34</f>
        <v>2154228.8946500001</v>
      </c>
      <c r="J35" s="247">
        <f t="shared" ref="J35" si="19">J33+J34</f>
        <v>13490997.3752</v>
      </c>
      <c r="K35" s="247">
        <f t="shared" ref="K35" si="20">K33+K34</f>
        <v>50975.98631</v>
      </c>
      <c r="L35" s="247">
        <f t="shared" ref="L35" si="21">L33+L34</f>
        <v>19345094.70775</v>
      </c>
      <c r="M35" s="247">
        <f t="shared" ref="M35" si="22">M33+M34</f>
        <v>27769.372599999999</v>
      </c>
      <c r="N35" s="247">
        <f t="shared" si="5"/>
        <v>0.57383468924477765</v>
      </c>
      <c r="O35" s="247">
        <f t="shared" si="2"/>
        <v>0.3626490062480528</v>
      </c>
      <c r="P35" s="247">
        <f t="shared" si="15"/>
        <v>0</v>
      </c>
      <c r="Q35" s="179">
        <f t="shared" si="3"/>
        <v>51.968105623401264</v>
      </c>
      <c r="R35" s="179">
        <f t="shared" si="4"/>
        <v>30.706795367243945</v>
      </c>
      <c r="S35" s="247">
        <f t="shared" si="15"/>
        <v>0</v>
      </c>
      <c r="T35" s="247">
        <f t="shared" si="15"/>
        <v>0</v>
      </c>
      <c r="U35" s="247">
        <f t="shared" si="15"/>
        <v>0</v>
      </c>
      <c r="V35" s="247">
        <f t="shared" si="15"/>
        <v>0</v>
      </c>
    </row>
  </sheetData>
  <autoFilter ref="A6:V35"/>
  <mergeCells count="16">
    <mergeCell ref="O4:O5"/>
    <mergeCell ref="J4:K4"/>
    <mergeCell ref="L4:M4"/>
    <mergeCell ref="B3:C3"/>
    <mergeCell ref="D3:E3"/>
    <mergeCell ref="N3:O3"/>
    <mergeCell ref="J3:M3"/>
    <mergeCell ref="F3:I3"/>
    <mergeCell ref="E4:E5"/>
    <mergeCell ref="F4:G4"/>
    <mergeCell ref="H4:I4"/>
    <mergeCell ref="A3:A5"/>
    <mergeCell ref="B4:B5"/>
    <mergeCell ref="C4:C5"/>
    <mergeCell ref="D4:D5"/>
    <mergeCell ref="N4:N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S36"/>
  <sheetViews>
    <sheetView zoomScaleNormal="100" workbookViewId="0">
      <selection activeCell="H9" sqref="H9"/>
    </sheetView>
  </sheetViews>
  <sheetFormatPr defaultColWidth="9.109375" defaultRowHeight="13.2" x14ac:dyDescent="0.25"/>
  <cols>
    <col min="1" max="1" width="22.44140625" style="161" customWidth="1"/>
    <col min="2" max="3" width="12.33203125" style="178" bestFit="1" customWidth="1"/>
    <col min="4" max="4" width="6.109375" style="178" bestFit="1" customWidth="1"/>
    <col min="5" max="6" width="12.33203125" style="178" bestFit="1" customWidth="1"/>
    <col min="7" max="7" width="5.109375" style="178" bestFit="1" customWidth="1"/>
    <col min="8" max="8" width="11.88671875" style="178" bestFit="1" customWidth="1"/>
    <col min="9" max="9" width="11.109375" style="178" bestFit="1" customWidth="1"/>
    <col min="10" max="10" width="11.33203125" style="178" customWidth="1"/>
    <col min="11" max="11" width="9.44140625" style="178" bestFit="1" customWidth="1"/>
    <col min="12" max="12" width="11.33203125" style="178" bestFit="1" customWidth="1"/>
    <col min="13" max="13" width="11" style="178" customWidth="1"/>
    <col min="14" max="14" width="11.33203125" style="178" bestFit="1" customWidth="1"/>
    <col min="15" max="15" width="10.109375" style="178" customWidth="1"/>
    <col min="16" max="16" width="12.33203125" style="178" bestFit="1" customWidth="1"/>
    <col min="17" max="17" width="11.33203125" style="178" bestFit="1" customWidth="1"/>
    <col min="18" max="18" width="12.33203125" style="178" bestFit="1" customWidth="1"/>
    <col min="19" max="16384" width="9.109375" style="178"/>
  </cols>
  <sheetData>
    <row r="1" spans="1:19" s="161" customFormat="1" x14ac:dyDescent="0.25">
      <c r="N1" s="999" t="s">
        <v>195</v>
      </c>
      <c r="O1" s="999"/>
      <c r="P1" s="156"/>
      <c r="Q1" s="156"/>
      <c r="R1" s="156"/>
      <c r="S1" s="156"/>
    </row>
    <row r="2" spans="1:19" s="161" customFormat="1" x14ac:dyDescent="0.25">
      <c r="P2" s="156"/>
      <c r="Q2" s="156"/>
      <c r="R2" s="156"/>
      <c r="S2" s="156"/>
    </row>
    <row r="3" spans="1:19" s="161" customFormat="1" ht="33" customHeight="1" x14ac:dyDescent="0.25">
      <c r="A3" s="1002" t="s">
        <v>2447</v>
      </c>
      <c r="B3" s="1002"/>
      <c r="C3" s="1002"/>
      <c r="D3" s="1002"/>
      <c r="E3" s="1002"/>
      <c r="F3" s="1002"/>
      <c r="G3" s="1002"/>
      <c r="H3" s="1002"/>
      <c r="I3" s="1002"/>
      <c r="J3" s="1002"/>
      <c r="K3" s="1002"/>
      <c r="L3" s="1002"/>
      <c r="M3" s="1002"/>
      <c r="N3" s="1002"/>
      <c r="O3" s="1002"/>
      <c r="P3" s="156"/>
      <c r="Q3" s="156"/>
      <c r="R3" s="156"/>
      <c r="S3" s="156"/>
    </row>
    <row r="4" spans="1:19" s="161" customFormat="1" ht="13.8" thickBot="1" x14ac:dyDescent="0.3">
      <c r="A4" s="175"/>
      <c r="B4" s="175"/>
      <c r="C4" s="175"/>
      <c r="D4" s="175"/>
      <c r="E4" s="175"/>
      <c r="F4" s="175"/>
      <c r="G4" s="175"/>
      <c r="H4" s="175"/>
      <c r="I4" s="175"/>
      <c r="J4" s="175"/>
      <c r="K4" s="175"/>
      <c r="L4" s="175"/>
      <c r="M4" s="175"/>
      <c r="N4" s="175"/>
      <c r="O4" s="176" t="s">
        <v>180</v>
      </c>
      <c r="P4" s="156"/>
      <c r="Q4" s="156"/>
      <c r="R4" s="156"/>
      <c r="S4" s="156"/>
    </row>
    <row r="5" spans="1:19" s="487" customFormat="1" ht="13.5" customHeight="1" thickTop="1" x14ac:dyDescent="0.25">
      <c r="A5" s="1000" t="s">
        <v>181</v>
      </c>
      <c r="B5" s="979" t="s">
        <v>182</v>
      </c>
      <c r="C5" s="979"/>
      <c r="D5" s="979"/>
      <c r="E5" s="979" t="s">
        <v>183</v>
      </c>
      <c r="F5" s="979"/>
      <c r="G5" s="979"/>
      <c r="H5" s="979" t="s">
        <v>402</v>
      </c>
      <c r="I5" s="979"/>
      <c r="J5" s="979" t="s">
        <v>669</v>
      </c>
      <c r="K5" s="484" t="s">
        <v>9</v>
      </c>
      <c r="L5" s="979" t="s">
        <v>668</v>
      </c>
      <c r="M5" s="979"/>
      <c r="N5" s="979" t="s">
        <v>215</v>
      </c>
      <c r="O5" s="980"/>
      <c r="P5" s="486"/>
      <c r="Q5" s="486"/>
      <c r="R5" s="486"/>
      <c r="S5" s="486"/>
    </row>
    <row r="6" spans="1:19" s="487" customFormat="1" ht="24" customHeight="1" x14ac:dyDescent="0.25">
      <c r="A6" s="1001"/>
      <c r="B6" s="972"/>
      <c r="C6" s="972"/>
      <c r="D6" s="972"/>
      <c r="E6" s="972"/>
      <c r="F6" s="972"/>
      <c r="G6" s="972"/>
      <c r="H6" s="972"/>
      <c r="I6" s="972"/>
      <c r="J6" s="972"/>
      <c r="K6" s="972" t="s">
        <v>142</v>
      </c>
      <c r="L6" s="972"/>
      <c r="M6" s="972"/>
      <c r="N6" s="972"/>
      <c r="O6" s="974"/>
      <c r="P6" s="486"/>
      <c r="Q6" s="486"/>
      <c r="R6" s="486"/>
      <c r="S6" s="486"/>
    </row>
    <row r="7" spans="1:19" s="487" customFormat="1" ht="26.4" x14ac:dyDescent="0.25">
      <c r="A7" s="1001"/>
      <c r="B7" s="482" t="s">
        <v>184</v>
      </c>
      <c r="C7" s="482" t="s">
        <v>185</v>
      </c>
      <c r="D7" s="482" t="s">
        <v>140</v>
      </c>
      <c r="E7" s="482" t="s">
        <v>184</v>
      </c>
      <c r="F7" s="482" t="s">
        <v>185</v>
      </c>
      <c r="G7" s="482" t="s">
        <v>140</v>
      </c>
      <c r="H7" s="482" t="s">
        <v>184</v>
      </c>
      <c r="I7" s="482" t="s">
        <v>185</v>
      </c>
      <c r="J7" s="972"/>
      <c r="K7" s="972"/>
      <c r="L7" s="482" t="s">
        <v>186</v>
      </c>
      <c r="M7" s="482" t="s">
        <v>187</v>
      </c>
      <c r="N7" s="482" t="s">
        <v>580</v>
      </c>
      <c r="O7" s="483" t="s">
        <v>494</v>
      </c>
      <c r="P7" s="486"/>
      <c r="Q7" s="486"/>
      <c r="R7" s="486"/>
      <c r="S7" s="486"/>
    </row>
    <row r="8" spans="1:19" s="488" customFormat="1" ht="10.199999999999999" x14ac:dyDescent="0.25">
      <c r="A8" s="177" t="s">
        <v>14</v>
      </c>
      <c r="B8" s="485" t="s">
        <v>15</v>
      </c>
      <c r="C8" s="485" t="s">
        <v>16</v>
      </c>
      <c r="D8" s="485" t="s">
        <v>188</v>
      </c>
      <c r="E8" s="485" t="s">
        <v>17</v>
      </c>
      <c r="F8" s="485" t="s">
        <v>189</v>
      </c>
      <c r="G8" s="485" t="s">
        <v>190</v>
      </c>
      <c r="H8" s="485" t="s">
        <v>189</v>
      </c>
      <c r="I8" s="485" t="s">
        <v>191</v>
      </c>
      <c r="J8" s="485" t="s">
        <v>18</v>
      </c>
      <c r="K8" s="485" t="s">
        <v>19</v>
      </c>
      <c r="L8" s="485" t="s">
        <v>20</v>
      </c>
      <c r="M8" s="485" t="s">
        <v>192</v>
      </c>
      <c r="N8" s="485" t="s">
        <v>193</v>
      </c>
      <c r="O8" s="207" t="s">
        <v>194</v>
      </c>
      <c r="P8" s="203"/>
      <c r="Q8" s="203"/>
      <c r="R8" s="203"/>
      <c r="S8" s="203"/>
    </row>
    <row r="9" spans="1:19" x14ac:dyDescent="0.25">
      <c r="A9" s="489" t="s">
        <v>152</v>
      </c>
      <c r="B9" s="190">
        <f>Черн.!AD8</f>
        <v>2182194.8571200003</v>
      </c>
      <c r="C9" s="190">
        <f>Черн.!AE8</f>
        <v>2184781.2153200004</v>
      </c>
      <c r="D9" s="190">
        <f>C9/B9%</f>
        <v>100.11852095570482</v>
      </c>
      <c r="E9" s="190">
        <f>Черн.!AK8</f>
        <v>2249812.1847900003</v>
      </c>
      <c r="F9" s="190">
        <f>Черн.!AL8</f>
        <v>2216044.9033399997</v>
      </c>
      <c r="G9" s="190">
        <f>F9/E9%</f>
        <v>98.499106650844624</v>
      </c>
      <c r="H9" s="190">
        <f>Черн.!AR8</f>
        <v>-72761.79230999999</v>
      </c>
      <c r="I9" s="190">
        <f>Черн.!AW8</f>
        <v>-31263.688020000001</v>
      </c>
      <c r="J9" s="190">
        <f>Черн.!DD8</f>
        <v>39858.719140000001</v>
      </c>
      <c r="K9" s="190">
        <f>Черн.!DF8</f>
        <v>21.963480000000001</v>
      </c>
      <c r="L9" s="190">
        <f>Черн.!DG8</f>
        <v>-17338.488019999997</v>
      </c>
      <c r="M9" s="190">
        <f>Черн.!DH8</f>
        <v>-1257.9622200000001</v>
      </c>
      <c r="N9" s="190">
        <f>Черн.!DJ8</f>
        <v>135000</v>
      </c>
      <c r="O9" s="191">
        <f>Черн.!DK8</f>
        <v>13925.199999999997</v>
      </c>
    </row>
    <row r="10" spans="1:19" x14ac:dyDescent="0.25">
      <c r="A10" s="489" t="s">
        <v>153</v>
      </c>
      <c r="B10" s="190">
        <f>Черн.!AD9</f>
        <v>731686.01523999998</v>
      </c>
      <c r="C10" s="190">
        <f>Черн.!AE9</f>
        <v>725436.68201999995</v>
      </c>
      <c r="D10" s="190">
        <f t="shared" ref="D10:D35" si="0">C10/B10%</f>
        <v>99.145899594930739</v>
      </c>
      <c r="E10" s="190">
        <f>Черн.!AK9</f>
        <v>762153.22943000006</v>
      </c>
      <c r="F10" s="190">
        <f>Черн.!AL9</f>
        <v>739745.22172999999</v>
      </c>
      <c r="G10" s="190">
        <f t="shared" ref="G10:G35" si="1">F10/E10%</f>
        <v>97.05990779350779</v>
      </c>
      <c r="H10" s="190">
        <f>Черн.!AR9</f>
        <v>-32194.874299999999</v>
      </c>
      <c r="I10" s="190">
        <f>Черн.!AW9</f>
        <v>-14308.539709999999</v>
      </c>
      <c r="J10" s="190">
        <f>Черн.!DD9</f>
        <v>27344.973450000001</v>
      </c>
      <c r="K10" s="190">
        <f>Черн.!DF9</f>
        <v>1239.9915599999999</v>
      </c>
      <c r="L10" s="190">
        <f>Черн.!DG9</f>
        <v>-14308.539710000001</v>
      </c>
      <c r="M10" s="190">
        <f>Черн.!DH9</f>
        <v>-1758.2660100000003</v>
      </c>
      <c r="N10" s="190">
        <f>Черн.!DJ9</f>
        <v>0</v>
      </c>
      <c r="O10" s="191">
        <f>Черн.!DK9</f>
        <v>0</v>
      </c>
    </row>
    <row r="11" spans="1:19" x14ac:dyDescent="0.25">
      <c r="A11" s="489" t="s">
        <v>154</v>
      </c>
      <c r="B11" s="190">
        <f>Черн.!AD10</f>
        <v>844022.99647999997</v>
      </c>
      <c r="C11" s="190">
        <f>Черн.!AE10</f>
        <v>789996.61262999999</v>
      </c>
      <c r="D11" s="190">
        <f t="shared" si="0"/>
        <v>93.59894409568021</v>
      </c>
      <c r="E11" s="190">
        <f>Черн.!AK10</f>
        <v>879605.24426999991</v>
      </c>
      <c r="F11" s="190">
        <f>Черн.!AL10</f>
        <v>818558.12328000006</v>
      </c>
      <c r="G11" s="190">
        <f t="shared" si="1"/>
        <v>93.059713844627666</v>
      </c>
      <c r="H11" s="190">
        <f>Черн.!AR10</f>
        <v>-35582.247790000001</v>
      </c>
      <c r="I11" s="190">
        <f>Черн.!AW10</f>
        <v>-28561.510649999997</v>
      </c>
      <c r="J11" s="190">
        <f>Черн.!DD10</f>
        <v>9447.8995099999993</v>
      </c>
      <c r="K11" s="190">
        <f>Черн.!DF10</f>
        <v>823.25124000000005</v>
      </c>
      <c r="L11" s="190">
        <f>Черн.!DG10</f>
        <v>-20861.51065</v>
      </c>
      <c r="M11" s="190">
        <f>Черн.!DH10</f>
        <v>-5062.6372599999995</v>
      </c>
      <c r="N11" s="190">
        <f>Черн.!DJ10</f>
        <v>7700</v>
      </c>
      <c r="O11" s="191">
        <f>Черн.!DK10</f>
        <v>7700</v>
      </c>
    </row>
    <row r="12" spans="1:19" x14ac:dyDescent="0.25">
      <c r="A12" s="489" t="s">
        <v>155</v>
      </c>
      <c r="B12" s="190">
        <f>Черн.!AD11</f>
        <v>897672.71487999998</v>
      </c>
      <c r="C12" s="190">
        <f>Черн.!AE11</f>
        <v>815915.60536999989</v>
      </c>
      <c r="D12" s="190">
        <f t="shared" si="0"/>
        <v>90.89232543723584</v>
      </c>
      <c r="E12" s="190">
        <f>Черн.!AK11</f>
        <v>946726.61219000013</v>
      </c>
      <c r="F12" s="190">
        <f>Черн.!AL11</f>
        <v>843572.05660999997</v>
      </c>
      <c r="G12" s="190">
        <f t="shared" si="1"/>
        <v>89.104081975536786</v>
      </c>
      <c r="H12" s="190">
        <f>Черн.!AR11</f>
        <v>-69634.032760000002</v>
      </c>
      <c r="I12" s="190">
        <f>Черн.!AW11</f>
        <v>-27656.451240000002</v>
      </c>
      <c r="J12" s="190">
        <f>Черн.!DD11</f>
        <v>48660.271650000002</v>
      </c>
      <c r="K12" s="190">
        <f>Черн.!DF11</f>
        <v>7866.6819599999999</v>
      </c>
      <c r="L12" s="190">
        <f>Черн.!DG11</f>
        <v>-27656.451240000002</v>
      </c>
      <c r="M12" s="190">
        <f>Черн.!DH11</f>
        <v>-4177.1006400000006</v>
      </c>
      <c r="N12" s="190">
        <f>Черн.!DJ11</f>
        <v>0</v>
      </c>
      <c r="O12" s="191">
        <f>Черн.!DK11</f>
        <v>0</v>
      </c>
    </row>
    <row r="13" spans="1:19" x14ac:dyDescent="0.25">
      <c r="A13" s="489" t="s">
        <v>156</v>
      </c>
      <c r="B13" s="190">
        <f>Черн.!AD12</f>
        <v>864089.20021000004</v>
      </c>
      <c r="C13" s="190">
        <f>Черн.!AE12</f>
        <v>860679.28756000008</v>
      </c>
      <c r="D13" s="190">
        <f t="shared" si="0"/>
        <v>99.605374925508698</v>
      </c>
      <c r="E13" s="190">
        <f>Черн.!AK12</f>
        <v>915367.78491999989</v>
      </c>
      <c r="F13" s="190">
        <f>Черн.!AL12</f>
        <v>854956.39626000007</v>
      </c>
      <c r="G13" s="190">
        <f t="shared" si="1"/>
        <v>93.400315189672142</v>
      </c>
      <c r="H13" s="190">
        <f>Черн.!AR12</f>
        <v>-41630.730549999993</v>
      </c>
      <c r="I13" s="190">
        <f>Черн.!AW12</f>
        <v>5722.8913000000011</v>
      </c>
      <c r="J13" s="190">
        <f>Черн.!DD12</f>
        <v>47679.474829999999</v>
      </c>
      <c r="K13" s="190">
        <f>Черн.!DF12</f>
        <v>856.74471000000005</v>
      </c>
      <c r="L13" s="190">
        <f>Черн.!DG12</f>
        <v>5722.8912999999957</v>
      </c>
      <c r="M13" s="190">
        <f>Черн.!DH12</f>
        <v>-9913.4520799999991</v>
      </c>
      <c r="N13" s="190">
        <f>Черн.!DJ12</f>
        <v>0</v>
      </c>
      <c r="O13" s="191">
        <f>Черн.!DK12</f>
        <v>0</v>
      </c>
    </row>
    <row r="14" spans="1:19" x14ac:dyDescent="0.25">
      <c r="A14" s="489" t="s">
        <v>157</v>
      </c>
      <c r="B14" s="190">
        <f>Черн.!AD13</f>
        <v>945091.86618000001</v>
      </c>
      <c r="C14" s="190">
        <f>Черн.!AE13</f>
        <v>941389.95821000007</v>
      </c>
      <c r="D14" s="190">
        <f t="shared" si="0"/>
        <v>99.608301784993358</v>
      </c>
      <c r="E14" s="190">
        <f>Черн.!AK13</f>
        <v>974655.22149999999</v>
      </c>
      <c r="F14" s="190">
        <f>Черн.!AL13</f>
        <v>939207.35024000006</v>
      </c>
      <c r="G14" s="190">
        <f t="shared" si="1"/>
        <v>96.363034796505232</v>
      </c>
      <c r="H14" s="190">
        <f>Черн.!AR13</f>
        <v>-29777.70594</v>
      </c>
      <c r="I14" s="190">
        <f>Черн.!AW13</f>
        <v>2182.6079699999991</v>
      </c>
      <c r="J14" s="190">
        <f>Черн.!DD13</f>
        <v>34305.738319999997</v>
      </c>
      <c r="K14" s="190">
        <f>Черн.!DF13</f>
        <v>1914.87393</v>
      </c>
      <c r="L14" s="190">
        <f>Черн.!DG13</f>
        <v>2182.6079699999973</v>
      </c>
      <c r="M14" s="190">
        <f>Черн.!DH13</f>
        <v>-3140.8839699999999</v>
      </c>
      <c r="N14" s="190">
        <f>Черн.!DJ13</f>
        <v>0</v>
      </c>
      <c r="O14" s="191">
        <f>Черн.!DK13</f>
        <v>0</v>
      </c>
    </row>
    <row r="15" spans="1:19" x14ac:dyDescent="0.25">
      <c r="A15" s="489" t="s">
        <v>158</v>
      </c>
      <c r="B15" s="190">
        <f>Черн.!AD14</f>
        <v>959929.28096</v>
      </c>
      <c r="C15" s="190">
        <f>Черн.!AE14</f>
        <v>970856.24635999976</v>
      </c>
      <c r="D15" s="190">
        <f t="shared" si="0"/>
        <v>101.13830941682204</v>
      </c>
      <c r="E15" s="190">
        <f>Черн.!AK14</f>
        <v>999449.34660000016</v>
      </c>
      <c r="F15" s="190">
        <f>Черн.!AL14</f>
        <v>964015.53254000004</v>
      </c>
      <c r="G15" s="190">
        <f t="shared" si="1"/>
        <v>96.454666343968157</v>
      </c>
      <c r="H15" s="190">
        <f>Черн.!AR14</f>
        <v>-28963.910089999998</v>
      </c>
      <c r="I15" s="190">
        <f>Черн.!AW14</f>
        <v>6840.7138199999999</v>
      </c>
      <c r="J15" s="190">
        <f>Черн.!DD14</f>
        <v>36197.524890000001</v>
      </c>
      <c r="K15" s="190">
        <f>Черн.!DF14</f>
        <v>1969.6180999999999</v>
      </c>
      <c r="L15" s="190">
        <f>Черн.!DG14</f>
        <v>8290.7138200000009</v>
      </c>
      <c r="M15" s="190">
        <f>Черн.!DH14</f>
        <v>-7428.6481700000004</v>
      </c>
      <c r="N15" s="190">
        <f>Черн.!DJ14</f>
        <v>60003.9</v>
      </c>
      <c r="O15" s="191">
        <f>Черн.!DK14</f>
        <v>1450</v>
      </c>
    </row>
    <row r="16" spans="1:19" x14ac:dyDescent="0.25">
      <c r="A16" s="489" t="s">
        <v>159</v>
      </c>
      <c r="B16" s="190">
        <f>Черн.!AD15</f>
        <v>822770.92249000003</v>
      </c>
      <c r="C16" s="190">
        <f>Черн.!AE15</f>
        <v>815704.89058999997</v>
      </c>
      <c r="D16" s="190">
        <f t="shared" si="0"/>
        <v>99.141190858007519</v>
      </c>
      <c r="E16" s="190">
        <f>Черн.!AK15</f>
        <v>849341.19211000006</v>
      </c>
      <c r="F16" s="190">
        <f>Черн.!AL15</f>
        <v>824757.41446</v>
      </c>
      <c r="G16" s="190">
        <f t="shared" si="1"/>
        <v>97.105547466863456</v>
      </c>
      <c r="H16" s="190">
        <f>Черн.!AR15</f>
        <v>-22953.769620000003</v>
      </c>
      <c r="I16" s="190">
        <f>Черн.!AW15</f>
        <v>-9052.5238700000009</v>
      </c>
      <c r="J16" s="190">
        <f>Черн.!DD15</f>
        <v>20393.229230000001</v>
      </c>
      <c r="K16" s="190">
        <f>Черн.!DF15</f>
        <v>160.00104999999999</v>
      </c>
      <c r="L16" s="190">
        <f>Черн.!DG15</f>
        <v>-9052.5238700000009</v>
      </c>
      <c r="M16" s="190">
        <f>Черн.!DH15</f>
        <v>-208.38205000000002</v>
      </c>
      <c r="N16" s="190">
        <f>Черн.!DJ15</f>
        <v>0</v>
      </c>
      <c r="O16" s="191">
        <f>Черн.!DK15</f>
        <v>0</v>
      </c>
    </row>
    <row r="17" spans="1:15" x14ac:dyDescent="0.25">
      <c r="A17" s="489" t="s">
        <v>160</v>
      </c>
      <c r="B17" s="190">
        <f>Черн.!AD16</f>
        <v>773030.88380000007</v>
      </c>
      <c r="C17" s="190">
        <f>Черн.!AE16</f>
        <v>774738.76179000002</v>
      </c>
      <c r="D17" s="190">
        <f t="shared" si="0"/>
        <v>100.22093269826485</v>
      </c>
      <c r="E17" s="190">
        <f>Черн.!AK16</f>
        <v>783620.15665999998</v>
      </c>
      <c r="F17" s="190">
        <f>Черн.!AL16</f>
        <v>765209.64324999996</v>
      </c>
      <c r="G17" s="190">
        <f t="shared" si="1"/>
        <v>97.650581949235388</v>
      </c>
      <c r="H17" s="190">
        <f>Черн.!AR16</f>
        <v>-11953.486779999999</v>
      </c>
      <c r="I17" s="190">
        <f>Черн.!AW16</f>
        <v>9529.1185399999995</v>
      </c>
      <c r="J17" s="190">
        <f>Черн.!DD16</f>
        <v>19016.613290000001</v>
      </c>
      <c r="K17" s="190">
        <f>Черн.!DF16</f>
        <v>182.32679999999999</v>
      </c>
      <c r="L17" s="190">
        <f>Черн.!DG16</f>
        <v>6529.1185400000013</v>
      </c>
      <c r="M17" s="190">
        <f>Черн.!DH16</f>
        <v>-1747.7373</v>
      </c>
      <c r="N17" s="190">
        <f>Черн.!DJ16</f>
        <v>17000</v>
      </c>
      <c r="O17" s="191">
        <f>Черн.!DK16</f>
        <v>-3000</v>
      </c>
    </row>
    <row r="18" spans="1:15" x14ac:dyDescent="0.25">
      <c r="A18" s="489" t="s">
        <v>161</v>
      </c>
      <c r="B18" s="190">
        <f>Черн.!AD17</f>
        <v>519267.94040000002</v>
      </c>
      <c r="C18" s="190">
        <f>Черн.!AE17</f>
        <v>518567.45445000002</v>
      </c>
      <c r="D18" s="190">
        <f t="shared" si="0"/>
        <v>99.865101252070289</v>
      </c>
      <c r="E18" s="190">
        <f>Черн.!AK17</f>
        <v>540540.65376999986</v>
      </c>
      <c r="F18" s="190">
        <f>Черн.!AL17</f>
        <v>516916.41350000008</v>
      </c>
      <c r="G18" s="190">
        <f t="shared" si="1"/>
        <v>95.629516465554886</v>
      </c>
      <c r="H18" s="190">
        <f>Черн.!AR17</f>
        <v>-21285.126369999998</v>
      </c>
      <c r="I18" s="190">
        <f>Черн.!AW17</f>
        <v>1651.0409499999998</v>
      </c>
      <c r="J18" s="190">
        <f>Черн.!DD17</f>
        <v>22936.16732</v>
      </c>
      <c r="K18" s="190">
        <f>Черн.!DF17</f>
        <v>2559.6236699999999</v>
      </c>
      <c r="L18" s="190">
        <f>Черн.!DG17</f>
        <v>-3848.9590500000013</v>
      </c>
      <c r="M18" s="190">
        <f>Черн.!DH17</f>
        <v>-1857.6468800000002</v>
      </c>
      <c r="N18" s="190">
        <f>Черн.!DJ17</f>
        <v>0</v>
      </c>
      <c r="O18" s="191">
        <f>Черн.!DK17</f>
        <v>-5500</v>
      </c>
    </row>
    <row r="19" spans="1:15" x14ac:dyDescent="0.25">
      <c r="A19" s="489" t="s">
        <v>162</v>
      </c>
      <c r="B19" s="190">
        <f>Черн.!AD18</f>
        <v>1211934.59317</v>
      </c>
      <c r="C19" s="190">
        <f>Черн.!AE18</f>
        <v>932826.39847999997</v>
      </c>
      <c r="D19" s="196">
        <f t="shared" si="0"/>
        <v>76.970028229002864</v>
      </c>
      <c r="E19" s="190">
        <f>Черн.!AK18</f>
        <v>1249378.55082</v>
      </c>
      <c r="F19" s="190">
        <f>Черн.!AL18</f>
        <v>915311.11349999998</v>
      </c>
      <c r="G19" s="196">
        <f t="shared" si="1"/>
        <v>73.261311625628366</v>
      </c>
      <c r="H19" s="190">
        <f>Черн.!AR18</f>
        <v>-35967.72565</v>
      </c>
      <c r="I19" s="190">
        <f>Черн.!AW18</f>
        <v>17515.28498</v>
      </c>
      <c r="J19" s="190">
        <f>Черн.!DD18</f>
        <v>36749.916340000003</v>
      </c>
      <c r="K19" s="190">
        <f>Черн.!DF18</f>
        <v>2627</v>
      </c>
      <c r="L19" s="190">
        <f>Черн.!DG18</f>
        <v>-2484.715019999996</v>
      </c>
      <c r="M19" s="190">
        <f>Черн.!DH18</f>
        <v>-783.52370000000019</v>
      </c>
      <c r="N19" s="190">
        <f>Черн.!DJ18</f>
        <v>0</v>
      </c>
      <c r="O19" s="191">
        <f>Черн.!DK18</f>
        <v>-20000</v>
      </c>
    </row>
    <row r="20" spans="1:15" x14ac:dyDescent="0.25">
      <c r="A20" s="489" t="s">
        <v>163</v>
      </c>
      <c r="B20" s="190">
        <f>Черн.!AD19</f>
        <v>1502992.2881000002</v>
      </c>
      <c r="C20" s="190">
        <f>Черн.!AE19</f>
        <v>1485888.5609400002</v>
      </c>
      <c r="D20" s="190">
        <f t="shared" si="0"/>
        <v>98.862021628758882</v>
      </c>
      <c r="E20" s="190">
        <f>Черн.!AK19</f>
        <v>1561099.62249</v>
      </c>
      <c r="F20" s="190">
        <f>Черн.!AL19</f>
        <v>1506293.17533</v>
      </c>
      <c r="G20" s="190">
        <f t="shared" si="1"/>
        <v>96.489240893378593</v>
      </c>
      <c r="H20" s="190">
        <f>Черн.!AR19</f>
        <v>-58336.834390000004</v>
      </c>
      <c r="I20" s="190">
        <f>Черн.!AW19</f>
        <v>-20404.614389999999</v>
      </c>
      <c r="J20" s="190">
        <f>Черн.!DD19</f>
        <v>53933.629390000002</v>
      </c>
      <c r="K20" s="190">
        <f>Черн.!DF19</f>
        <v>96.060299999999998</v>
      </c>
      <c r="L20" s="190">
        <f>Черн.!DG19</f>
        <v>-804.61438999999518</v>
      </c>
      <c r="M20" s="190">
        <f>Черн.!DH19</f>
        <v>-3495.6228999999998</v>
      </c>
      <c r="N20" s="190">
        <f>Черн.!DJ19</f>
        <v>100600</v>
      </c>
      <c r="O20" s="191">
        <f>Черн.!DK19</f>
        <v>19600</v>
      </c>
    </row>
    <row r="21" spans="1:15" x14ac:dyDescent="0.25">
      <c r="A21" s="489" t="s">
        <v>164</v>
      </c>
      <c r="B21" s="190">
        <f>Черн.!AD20</f>
        <v>1202158.9565299999</v>
      </c>
      <c r="C21" s="190">
        <f>Черн.!AE20</f>
        <v>1094828.7310500003</v>
      </c>
      <c r="D21" s="190">
        <f t="shared" si="0"/>
        <v>91.071877400489072</v>
      </c>
      <c r="E21" s="190">
        <f>Черн.!AK20</f>
        <v>1245593.60118</v>
      </c>
      <c r="F21" s="190">
        <f>Черн.!AL20</f>
        <v>1101641.2508300003</v>
      </c>
      <c r="G21" s="190">
        <f t="shared" si="1"/>
        <v>88.443072426381448</v>
      </c>
      <c r="H21" s="190">
        <f>Черн.!AR20</f>
        <v>-38109.483870000004</v>
      </c>
      <c r="I21" s="190">
        <f>Черн.!AW20</f>
        <v>-6812.5197799999996</v>
      </c>
      <c r="J21" s="190">
        <f>Черн.!DD20</f>
        <v>30896.964090000001</v>
      </c>
      <c r="K21" s="190">
        <f>Черн.!DF20</f>
        <v>20572.253809999998</v>
      </c>
      <c r="L21" s="190">
        <f>Черн.!DG20</f>
        <v>14609.480220000001</v>
      </c>
      <c r="M21" s="190">
        <f>Черн.!DH20</f>
        <v>12507.415409999998</v>
      </c>
      <c r="N21" s="190">
        <f>Черн.!DJ20</f>
        <v>64216</v>
      </c>
      <c r="O21" s="191">
        <f>Черн.!DK20</f>
        <v>21422</v>
      </c>
    </row>
    <row r="22" spans="1:15" x14ac:dyDescent="0.25">
      <c r="A22" s="489" t="s">
        <v>165</v>
      </c>
      <c r="B22" s="190">
        <f>Черн.!AD21</f>
        <v>1525933.43221</v>
      </c>
      <c r="C22" s="190">
        <f>Черн.!AE21</f>
        <v>1531341.39105</v>
      </c>
      <c r="D22" s="190">
        <f t="shared" si="0"/>
        <v>100.35440332624259</v>
      </c>
      <c r="E22" s="190">
        <f>Черн.!AK21</f>
        <v>1577753.5411499999</v>
      </c>
      <c r="F22" s="190">
        <f>Черн.!AL21</f>
        <v>1528001.2325500001</v>
      </c>
      <c r="G22" s="190">
        <f t="shared" si="1"/>
        <v>96.84663622661013</v>
      </c>
      <c r="H22" s="190">
        <f>Черн.!AR21</f>
        <v>-55640.83885</v>
      </c>
      <c r="I22" s="190">
        <f>Черн.!AW21</f>
        <v>3340.1585</v>
      </c>
      <c r="J22" s="190">
        <f>Черн.!DD21</f>
        <v>75249.842329999999</v>
      </c>
      <c r="K22" s="190">
        <f>Черн.!DF21</f>
        <v>508.55018999999999</v>
      </c>
      <c r="L22" s="190">
        <f>Черн.!DG21</f>
        <v>3340.158500000005</v>
      </c>
      <c r="M22" s="190">
        <f>Черн.!DH21</f>
        <v>-1317.5812700000001</v>
      </c>
      <c r="N22" s="190">
        <f>Черн.!DJ21</f>
        <v>0</v>
      </c>
      <c r="O22" s="191">
        <f>Черн.!DK21</f>
        <v>0</v>
      </c>
    </row>
    <row r="23" spans="1:15" x14ac:dyDescent="0.25">
      <c r="A23" s="489" t="s">
        <v>166</v>
      </c>
      <c r="B23" s="190">
        <f>Черн.!AD22</f>
        <v>1435077.11527</v>
      </c>
      <c r="C23" s="190">
        <f>Черн.!AE22</f>
        <v>1382105.6516999998</v>
      </c>
      <c r="D23" s="190">
        <f t="shared" si="0"/>
        <v>96.308807170962808</v>
      </c>
      <c r="E23" s="190">
        <f>Черн.!AK22</f>
        <v>1506392.5678499998</v>
      </c>
      <c r="F23" s="190">
        <f>Черн.!AL22</f>
        <v>1404126.0455800002</v>
      </c>
      <c r="G23" s="190">
        <f t="shared" si="1"/>
        <v>93.211163912209173</v>
      </c>
      <c r="H23" s="190">
        <f>Черн.!AR22</f>
        <v>-61060.715839999997</v>
      </c>
      <c r="I23" s="190">
        <f>Черн.!AW22</f>
        <v>-22020.39388</v>
      </c>
      <c r="J23" s="190">
        <f>Черн.!DD22</f>
        <v>41086.16979</v>
      </c>
      <c r="K23" s="190">
        <f>Черн.!DF22</f>
        <v>8414.49964</v>
      </c>
      <c r="L23" s="190">
        <f>Черн.!DG22</f>
        <v>-8020.3938800000033</v>
      </c>
      <c r="M23" s="190">
        <f>Черн.!DH22</f>
        <v>1522.0375400000003</v>
      </c>
      <c r="N23" s="190">
        <f>Черн.!DJ22</f>
        <v>86200</v>
      </c>
      <c r="O23" s="191">
        <f>Черн.!DK22</f>
        <v>14000</v>
      </c>
    </row>
    <row r="24" spans="1:15" x14ac:dyDescent="0.25">
      <c r="A24" s="489" t="s">
        <v>167</v>
      </c>
      <c r="B24" s="190">
        <f>Черн.!AD23</f>
        <v>1573486.1096399999</v>
      </c>
      <c r="C24" s="190">
        <f>Черн.!AE23</f>
        <v>1569571.4643799998</v>
      </c>
      <c r="D24" s="190">
        <f t="shared" si="0"/>
        <v>99.751211959481751</v>
      </c>
      <c r="E24" s="190">
        <f>Черн.!AK23</f>
        <v>1617745.3754999998</v>
      </c>
      <c r="F24" s="190">
        <f>Черн.!AL23</f>
        <v>1580059.5402599997</v>
      </c>
      <c r="G24" s="190">
        <f t="shared" si="1"/>
        <v>97.670471768256334</v>
      </c>
      <c r="H24" s="190">
        <f>Черн.!AR23</f>
        <v>-56280.335440000003</v>
      </c>
      <c r="I24" s="190">
        <f>Черн.!AW23</f>
        <v>-10488.07588</v>
      </c>
      <c r="J24" s="190">
        <f>Черн.!DD23</f>
        <v>46251.619070000001</v>
      </c>
      <c r="K24" s="190">
        <f>Черн.!DF23</f>
        <v>1048.8415199999999</v>
      </c>
      <c r="L24" s="190">
        <f>Черн.!DG23</f>
        <v>2811.9241200000033</v>
      </c>
      <c r="M24" s="190">
        <f>Черн.!DH23</f>
        <v>-3001.3618299999998</v>
      </c>
      <c r="N24" s="190">
        <f>Черн.!DJ23</f>
        <v>17800</v>
      </c>
      <c r="O24" s="191">
        <f>Черн.!DK23</f>
        <v>13300</v>
      </c>
    </row>
    <row r="25" spans="1:15" x14ac:dyDescent="0.25">
      <c r="A25" s="489" t="s">
        <v>168</v>
      </c>
      <c r="B25" s="190">
        <f>Черн.!AD24</f>
        <v>1782038.6211300003</v>
      </c>
      <c r="C25" s="190">
        <f>Черн.!AE24</f>
        <v>1732589.86295</v>
      </c>
      <c r="D25" s="190">
        <f t="shared" si="0"/>
        <v>97.225157884140316</v>
      </c>
      <c r="E25" s="190">
        <f>Черн.!AK24</f>
        <v>1836600.0468199998</v>
      </c>
      <c r="F25" s="190">
        <f>Черн.!AL24</f>
        <v>1786910.0814699996</v>
      </c>
      <c r="G25" s="190">
        <f t="shared" si="1"/>
        <v>97.294459104689849</v>
      </c>
      <c r="H25" s="190">
        <f>Черн.!AR24</f>
        <v>-56460.419990000002</v>
      </c>
      <c r="I25" s="190">
        <f>Черн.!AW24</f>
        <v>-54320.218520000002</v>
      </c>
      <c r="J25" s="190">
        <f>Черн.!DD24</f>
        <v>82353.029320000001</v>
      </c>
      <c r="K25" s="190">
        <f>Черн.!DF24</f>
        <v>3046.53908</v>
      </c>
      <c r="L25" s="190">
        <f>Черн.!DG24</f>
        <v>-28020.218519999995</v>
      </c>
      <c r="M25" s="190">
        <f>Черн.!DH24</f>
        <v>-588.23142999999982</v>
      </c>
      <c r="N25" s="190">
        <f>Черн.!DJ24</f>
        <v>65300</v>
      </c>
      <c r="O25" s="191">
        <f>Черн.!DK24</f>
        <v>26300</v>
      </c>
    </row>
    <row r="26" spans="1:15" x14ac:dyDescent="0.25">
      <c r="A26" s="489" t="s">
        <v>169</v>
      </c>
      <c r="B26" s="190">
        <f>Черн.!AD25</f>
        <v>1278077.9409200002</v>
      </c>
      <c r="C26" s="190">
        <f>Черн.!AE25</f>
        <v>1250822.8531299999</v>
      </c>
      <c r="D26" s="190">
        <f t="shared" si="0"/>
        <v>97.867494077052825</v>
      </c>
      <c r="E26" s="190">
        <f>Черн.!AK25</f>
        <v>1288879.3164300001</v>
      </c>
      <c r="F26" s="190">
        <f>Черн.!AL25</f>
        <v>1235257.2132799998</v>
      </c>
      <c r="G26" s="190">
        <f t="shared" si="1"/>
        <v>95.839633512117686</v>
      </c>
      <c r="H26" s="190">
        <f>Черн.!AR25</f>
        <v>-40648.075840000005</v>
      </c>
      <c r="I26" s="190">
        <f>Черн.!AW25</f>
        <v>15565.63985</v>
      </c>
      <c r="J26" s="190">
        <f>Черн.!DD25</f>
        <v>87020.393989999997</v>
      </c>
      <c r="K26" s="190">
        <f>Черн.!DF25</f>
        <v>2316.78199</v>
      </c>
      <c r="L26" s="190">
        <f>Черн.!DG25</f>
        <v>15565.639849999992</v>
      </c>
      <c r="M26" s="190">
        <f>Черн.!DH25</f>
        <v>-1809.1085100000005</v>
      </c>
      <c r="N26" s="190">
        <f>Черн.!DJ25</f>
        <v>0</v>
      </c>
      <c r="O26" s="191">
        <f>Черн.!DK25</f>
        <v>0</v>
      </c>
    </row>
    <row r="27" spans="1:15" x14ac:dyDescent="0.25">
      <c r="A27" s="489" t="s">
        <v>170</v>
      </c>
      <c r="B27" s="190">
        <f>Черн.!AD26</f>
        <v>716055.8703500001</v>
      </c>
      <c r="C27" s="190">
        <f>Черн.!AE26</f>
        <v>568922.12773000007</v>
      </c>
      <c r="D27" s="190">
        <f t="shared" si="0"/>
        <v>79.452197976104472</v>
      </c>
      <c r="E27" s="190">
        <f>Черн.!AK26</f>
        <v>740371.48086000001</v>
      </c>
      <c r="F27" s="190">
        <f>Черн.!AL26</f>
        <v>584164.5877700001</v>
      </c>
      <c r="G27" s="190">
        <f t="shared" si="1"/>
        <v>78.901551838740033</v>
      </c>
      <c r="H27" s="190">
        <f>Черн.!AR26</f>
        <v>-29264.408079999997</v>
      </c>
      <c r="I27" s="190">
        <f>Черн.!AW26</f>
        <v>-15242.46004</v>
      </c>
      <c r="J27" s="190">
        <f>Черн.!DD26</f>
        <v>40853.775079999999</v>
      </c>
      <c r="K27" s="190">
        <f>Черн.!DF26</f>
        <v>2625.7932500000002</v>
      </c>
      <c r="L27" s="190">
        <f>Черн.!DG26</f>
        <v>-15242.460039999998</v>
      </c>
      <c r="M27" s="190">
        <f>Черн.!DH26</f>
        <v>-333.36805000000004</v>
      </c>
      <c r="N27" s="190">
        <f>Черн.!DJ26</f>
        <v>0</v>
      </c>
      <c r="O27" s="191">
        <f>Черн.!DK26</f>
        <v>0</v>
      </c>
    </row>
    <row r="28" spans="1:15" x14ac:dyDescent="0.25">
      <c r="A28" s="489" t="s">
        <v>171</v>
      </c>
      <c r="B28" s="190">
        <f>Черн.!AD27</f>
        <v>10417237.1</v>
      </c>
      <c r="C28" s="190">
        <f>Черн.!AE27</f>
        <v>12411756.03916</v>
      </c>
      <c r="D28" s="190">
        <f t="shared" si="0"/>
        <v>119.1463333320886</v>
      </c>
      <c r="E28" s="190">
        <f>Черн.!AK27</f>
        <v>12714616.97508</v>
      </c>
      <c r="F28" s="190">
        <f>Черн.!AL27</f>
        <v>12267967.35069</v>
      </c>
      <c r="G28" s="190">
        <f t="shared" si="1"/>
        <v>96.487116951573043</v>
      </c>
      <c r="H28" s="190">
        <f>Черн.!AR27</f>
        <v>-504401.8</v>
      </c>
      <c r="I28" s="190">
        <f>Черн.!AW27</f>
        <v>143788.68846999999</v>
      </c>
      <c r="J28" s="190">
        <f>Черн.!DD27</f>
        <v>525885.70198000001</v>
      </c>
      <c r="K28" s="190">
        <f>Черн.!DF27</f>
        <v>40632.071360000002</v>
      </c>
      <c r="L28" s="190">
        <f>Черн.!DG27</f>
        <v>143788.68846999999</v>
      </c>
      <c r="M28" s="190">
        <f>Черн.!DH27</f>
        <v>24846.47999</v>
      </c>
      <c r="N28" s="190">
        <f>Черн.!DJ27</f>
        <v>1499000</v>
      </c>
      <c r="O28" s="191">
        <f>Черн.!DK27</f>
        <v>0</v>
      </c>
    </row>
    <row r="29" spans="1:15" x14ac:dyDescent="0.25">
      <c r="A29" s="489" t="s">
        <v>172</v>
      </c>
      <c r="B29" s="190">
        <f>Черн.!AD28</f>
        <v>8759464.2597800009</v>
      </c>
      <c r="C29" s="190">
        <f>Черн.!AE28</f>
        <v>8386685.2816599999</v>
      </c>
      <c r="D29" s="190">
        <f t="shared" si="0"/>
        <v>95.744271943300745</v>
      </c>
      <c r="E29" s="190">
        <f>Черн.!AK28</f>
        <v>9267132.7827400006</v>
      </c>
      <c r="F29" s="190">
        <f>Черн.!AL28</f>
        <v>8712477.7302700002</v>
      </c>
      <c r="G29" s="190">
        <f t="shared" si="1"/>
        <v>94.014814878847503</v>
      </c>
      <c r="H29" s="190">
        <f>Черн.!AR28</f>
        <v>-507668.52295999997</v>
      </c>
      <c r="I29" s="190">
        <f>Черн.!AW28</f>
        <v>-325792.44861000002</v>
      </c>
      <c r="J29" s="190">
        <f>Черн.!DD28</f>
        <v>195626.44727999999</v>
      </c>
      <c r="K29" s="190">
        <f>Черн.!DF28</f>
        <v>1005.55181</v>
      </c>
      <c r="L29" s="190">
        <f>Черн.!DG28</f>
        <v>67419.457709999988</v>
      </c>
      <c r="M29" s="190">
        <f>Черн.!DH28</f>
        <v>-2965.9236000000001</v>
      </c>
      <c r="N29" s="190">
        <f>Черн.!DJ28</f>
        <v>1831466.665</v>
      </c>
      <c r="O29" s="191">
        <f>Черн.!DK28</f>
        <v>230000</v>
      </c>
    </row>
    <row r="30" spans="1:15" x14ac:dyDescent="0.25">
      <c r="A30" s="489" t="s">
        <v>173</v>
      </c>
      <c r="B30" s="190">
        <f>Черн.!AD29</f>
        <v>2282027.5</v>
      </c>
      <c r="C30" s="190">
        <f>Черн.!AE29</f>
        <v>3284419.5467599998</v>
      </c>
      <c r="D30" s="196">
        <f t="shared" si="0"/>
        <v>143.92550250862445</v>
      </c>
      <c r="E30" s="190">
        <f>Черн.!AK29</f>
        <v>3391340.9450900001</v>
      </c>
      <c r="F30" s="190">
        <f>Черн.!AL29</f>
        <v>3292881.9249499999</v>
      </c>
      <c r="G30" s="190">
        <f t="shared" si="1"/>
        <v>97.096752531397669</v>
      </c>
      <c r="H30" s="190">
        <f>Черн.!AR29</f>
        <v>-129898.1</v>
      </c>
      <c r="I30" s="190">
        <f>Черн.!AW29</f>
        <v>-8462.3781899999994</v>
      </c>
      <c r="J30" s="190">
        <f>Черн.!DD29</f>
        <v>49684.750599999999</v>
      </c>
      <c r="K30" s="190">
        <f>Черн.!DF29</f>
        <v>583.46277999999995</v>
      </c>
      <c r="L30" s="190">
        <f>Черн.!DG29</f>
        <v>-550.67818999999872</v>
      </c>
      <c r="M30" s="190">
        <f>Черн.!DH29</f>
        <v>-631.13310000000013</v>
      </c>
      <c r="N30" s="190">
        <f>Черн.!DJ29</f>
        <v>180000</v>
      </c>
      <c r="O30" s="191">
        <f>Черн.!DK29</f>
        <v>0</v>
      </c>
    </row>
    <row r="31" spans="1:15" x14ac:dyDescent="0.25">
      <c r="A31" s="489" t="s">
        <v>174</v>
      </c>
      <c r="B31" s="190">
        <f>Черн.!AD30</f>
        <v>1616521.64069</v>
      </c>
      <c r="C31" s="190">
        <f>Черн.!AE30</f>
        <v>1401806.3809499999</v>
      </c>
      <c r="D31" s="190">
        <f t="shared" si="0"/>
        <v>86.717452192699966</v>
      </c>
      <c r="E31" s="190">
        <f>Черн.!AK30</f>
        <v>1669928.8054299999</v>
      </c>
      <c r="F31" s="190">
        <f>Черн.!AL30</f>
        <v>1372299.4593499999</v>
      </c>
      <c r="G31" s="190">
        <f t="shared" si="1"/>
        <v>82.177123652684003</v>
      </c>
      <c r="H31" s="190">
        <f>Черн.!AR30</f>
        <v>-62599.724240000003</v>
      </c>
      <c r="I31" s="190">
        <f>Черн.!AW30</f>
        <v>29506.921600000001</v>
      </c>
      <c r="J31" s="190">
        <f>Черн.!DD30</f>
        <v>93069.908710000003</v>
      </c>
      <c r="K31" s="190">
        <f>Черн.!DF30</f>
        <v>1096.2343599999999</v>
      </c>
      <c r="L31" s="190">
        <f>Черн.!DG30</f>
        <v>59506.921600000001</v>
      </c>
      <c r="M31" s="190">
        <f>Черн.!DH30</f>
        <v>-1335.0939400000002</v>
      </c>
      <c r="N31" s="190">
        <f>Черн.!DJ30</f>
        <v>160000</v>
      </c>
      <c r="O31" s="191">
        <f>Черн.!DK30</f>
        <v>30000</v>
      </c>
    </row>
    <row r="32" spans="1:15" x14ac:dyDescent="0.25">
      <c r="A32" s="489" t="s">
        <v>175</v>
      </c>
      <c r="B32" s="190">
        <f>Черн.!AD31</f>
        <v>1165426.51079</v>
      </c>
      <c r="C32" s="190">
        <f>Черн.!AE31</f>
        <v>1172550.10296</v>
      </c>
      <c r="D32" s="190">
        <f t="shared" si="0"/>
        <v>100.61124336061064</v>
      </c>
      <c r="E32" s="190">
        <f>Черн.!AK31</f>
        <v>1212174.719</v>
      </c>
      <c r="F32" s="190">
        <f>Черн.!AL31</f>
        <v>1183819.1291</v>
      </c>
      <c r="G32" s="190">
        <f t="shared" si="1"/>
        <v>97.660767094417523</v>
      </c>
      <c r="H32" s="190">
        <f>Черн.!AR31</f>
        <v>-46867.311529999999</v>
      </c>
      <c r="I32" s="190">
        <f>Черн.!AW31</f>
        <v>-11269.02614</v>
      </c>
      <c r="J32" s="190">
        <f>Черн.!DD31</f>
        <v>6520.3427499999998</v>
      </c>
      <c r="K32" s="190">
        <f>Черн.!DF31</f>
        <v>0.10589999999999999</v>
      </c>
      <c r="L32" s="190">
        <f>Черн.!DG31</f>
        <v>-14434.526140000002</v>
      </c>
      <c r="M32" s="190">
        <f>Черн.!DH31</f>
        <v>-3706.0706999999998</v>
      </c>
      <c r="N32" s="190">
        <f>Черн.!DJ31</f>
        <v>133100</v>
      </c>
      <c r="O32" s="191">
        <f>Черн.!DK31</f>
        <v>-3165.5</v>
      </c>
    </row>
    <row r="33" spans="1:16" x14ac:dyDescent="0.25">
      <c r="A33" s="489" t="s">
        <v>176</v>
      </c>
      <c r="B33" s="190">
        <f>Черн.!AD32</f>
        <v>1775779.98658</v>
      </c>
      <c r="C33" s="190">
        <f>Черн.!AE32</f>
        <v>1774013.9242199999</v>
      </c>
      <c r="D33" s="190">
        <f t="shared" si="0"/>
        <v>99.900547231450602</v>
      </c>
      <c r="E33" s="190">
        <f>Черн.!AK32</f>
        <v>1849404.0086999999</v>
      </c>
      <c r="F33" s="190">
        <f>Черн.!AL32</f>
        <v>1763000.7989399999</v>
      </c>
      <c r="G33" s="190">
        <f t="shared" si="1"/>
        <v>95.328051126009228</v>
      </c>
      <c r="H33" s="190">
        <f>Черн.!AR32</f>
        <v>-73095.522159999993</v>
      </c>
      <c r="I33" s="190">
        <f>Черн.!AW32</f>
        <v>11013.12528</v>
      </c>
      <c r="J33" s="190">
        <f>Черн.!DD32</f>
        <v>258944.60347</v>
      </c>
      <c r="K33" s="190">
        <f>Черн.!DF32</f>
        <v>96.5869</v>
      </c>
      <c r="L33" s="190">
        <f>Черн.!DG32</f>
        <v>11013.125280000007</v>
      </c>
      <c r="M33" s="190">
        <f>Черн.!DH32</f>
        <v>-836.65020000000004</v>
      </c>
      <c r="N33" s="190">
        <f>Черн.!DJ32</f>
        <v>0</v>
      </c>
      <c r="O33" s="191">
        <f>Черн.!DK32</f>
        <v>0</v>
      </c>
    </row>
    <row r="34" spans="1:16" x14ac:dyDescent="0.25">
      <c r="A34" s="489" t="s">
        <v>177</v>
      </c>
      <c r="B34" s="190">
        <f>Черн.!AD33</f>
        <v>111250.65872000001</v>
      </c>
      <c r="C34" s="190">
        <f>Черн.!AE33</f>
        <v>115885.03624</v>
      </c>
      <c r="D34" s="190">
        <f t="shared" si="0"/>
        <v>104.16570793676286</v>
      </c>
      <c r="E34" s="190">
        <f>Черн.!AK33</f>
        <v>111710.46617</v>
      </c>
      <c r="F34" s="190">
        <f>Черн.!AL33</f>
        <v>111250.76415</v>
      </c>
      <c r="G34" s="196">
        <f t="shared" si="1"/>
        <v>99.588487958415271</v>
      </c>
      <c r="H34" s="190">
        <f>Черн.!AR33</f>
        <v>-459.80745000000002</v>
      </c>
      <c r="I34" s="190">
        <f>Черн.!AW33</f>
        <v>4634.2720900000004</v>
      </c>
      <c r="J34" s="190">
        <f>Черн.!DD33</f>
        <v>13484.73698</v>
      </c>
      <c r="K34" s="190">
        <f>Черн.!DF33</f>
        <v>0</v>
      </c>
      <c r="L34" s="190">
        <f>Черн.!DG33</f>
        <v>4634.2720900000004</v>
      </c>
      <c r="M34" s="190">
        <f>Черн.!DH33</f>
        <v>0</v>
      </c>
      <c r="N34" s="190">
        <f>Черн.!DJ33</f>
        <v>0</v>
      </c>
      <c r="O34" s="191">
        <f>Черн.!DK33</f>
        <v>0</v>
      </c>
    </row>
    <row r="35" spans="1:16" s="179" customFormat="1" ht="13.8" thickBot="1" x14ac:dyDescent="0.3">
      <c r="A35" s="490" t="s">
        <v>178</v>
      </c>
      <c r="B35" s="194">
        <f>Черн.!AD34</f>
        <v>47895219.261640005</v>
      </c>
      <c r="C35" s="194">
        <f>Черн.!AE34</f>
        <v>49494080.067659996</v>
      </c>
      <c r="D35" s="194">
        <f t="shared" si="0"/>
        <v>103.33824717929737</v>
      </c>
      <c r="E35" s="194">
        <f>Черн.!AK34</f>
        <v>52741394.431549996</v>
      </c>
      <c r="F35" s="194">
        <f>Черн.!AL34</f>
        <v>49828444.453230001</v>
      </c>
      <c r="G35" s="194">
        <f t="shared" si="1"/>
        <v>94.476918917833046</v>
      </c>
      <c r="H35" s="194">
        <f>SUM(H9:H34)</f>
        <v>-2123497.3028000002</v>
      </c>
      <c r="I35" s="194">
        <f>SUM(I9:I34)</f>
        <v>-334364.38557000004</v>
      </c>
      <c r="J35" s="194">
        <f>Черн.!DD34</f>
        <v>1943452.4428000001</v>
      </c>
      <c r="K35" s="194">
        <f>Черн.!DF34</f>
        <v>102265.40939000002</v>
      </c>
      <c r="L35" s="194">
        <f>Черн.!DG34</f>
        <v>182790.92074999999</v>
      </c>
      <c r="M35" s="194">
        <f>Черн.!DH34</f>
        <v>-18480.452869999994</v>
      </c>
      <c r="N35" s="194">
        <f>Черн.!DJ34</f>
        <v>4357386.5649999995</v>
      </c>
      <c r="O35" s="195">
        <f>Черн.!DK34</f>
        <v>346031.7</v>
      </c>
      <c r="P35" s="178"/>
    </row>
    <row r="36" spans="1:16" ht="13.8" thickTop="1" x14ac:dyDescent="0.25"/>
  </sheetData>
  <autoFilter ref="A8:S8"/>
  <mergeCells count="10">
    <mergeCell ref="N1:O1"/>
    <mergeCell ref="N5:O6"/>
    <mergeCell ref="K6:K7"/>
    <mergeCell ref="A5:A7"/>
    <mergeCell ref="B5:D6"/>
    <mergeCell ref="E5:G6"/>
    <mergeCell ref="H5:I6"/>
    <mergeCell ref="J5:J7"/>
    <mergeCell ref="L5:M6"/>
    <mergeCell ref="A3:O3"/>
  </mergeCells>
  <conditionalFormatting sqref="B9:O34">
    <cfRule type="cellIs" dxfId="7" priority="1" operator="equal">
      <formula>0</formula>
    </cfRule>
  </conditionalFormatting>
  <pageMargins left="0" right="0" top="0.74803149606299213" bottom="0.74803149606299213" header="0.31496062992125984" footer="0.31496062992125984"/>
  <pageSetup paperSize="9" scale="86"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S38"/>
  <sheetViews>
    <sheetView zoomScaleNormal="100" workbookViewId="0">
      <pane xSplit="1" ySplit="8" topLeftCell="D28" activePane="bottomRight" state="frozen"/>
      <selection pane="topRight" activeCell="B1" sqref="B1"/>
      <selection pane="bottomLeft" activeCell="A9" sqref="A9"/>
      <selection pane="bottomRight" activeCell="H6" sqref="H6:J6"/>
    </sheetView>
  </sheetViews>
  <sheetFormatPr defaultColWidth="9.44140625" defaultRowHeight="13.2" x14ac:dyDescent="0.25"/>
  <cols>
    <col min="1" max="1" width="22" style="156" customWidth="1"/>
    <col min="2" max="3" width="12.33203125" style="178" bestFit="1" customWidth="1"/>
    <col min="4" max="4" width="6.44140625" style="178" bestFit="1" customWidth="1"/>
    <col min="5" max="6" width="12.33203125" style="178" bestFit="1" customWidth="1"/>
    <col min="7" max="7" width="6.44140625" style="178" bestFit="1" customWidth="1"/>
    <col min="8" max="8" width="11.33203125" style="181" bestFit="1" customWidth="1"/>
    <col min="9" max="9" width="10.109375" style="181" bestFit="1" customWidth="1"/>
    <col min="10" max="10" width="6.44140625" style="181" bestFit="1" customWidth="1"/>
    <col min="11" max="11" width="9.88671875" style="181" bestFit="1" customWidth="1"/>
    <col min="12" max="12" width="10.109375" style="181" bestFit="1" customWidth="1"/>
    <col min="13" max="13" width="6.33203125" style="181" customWidth="1"/>
    <col min="14" max="15" width="11.33203125" style="181" bestFit="1" customWidth="1"/>
    <col min="16" max="16" width="6.33203125" style="181" bestFit="1" customWidth="1"/>
    <col min="17" max="17" width="9.88671875" style="181" bestFit="1" customWidth="1"/>
    <col min="18" max="18" width="9.6640625" style="181" bestFit="1" customWidth="1"/>
    <col min="19" max="19" width="8.109375" style="181" bestFit="1" customWidth="1"/>
    <col min="20" max="16384" width="9.44140625" style="181"/>
  </cols>
  <sheetData>
    <row r="1" spans="1:19" ht="15" customHeight="1" x14ac:dyDescent="0.25">
      <c r="N1" s="180"/>
      <c r="O1" s="180"/>
      <c r="P1" s="180"/>
      <c r="Q1" s="1003" t="s">
        <v>211</v>
      </c>
      <c r="R1" s="1003"/>
      <c r="S1" s="1003"/>
    </row>
    <row r="3" spans="1:19" s="175" customFormat="1" ht="36.75" customHeight="1" x14ac:dyDescent="0.25">
      <c r="A3" s="1004" t="s">
        <v>704</v>
      </c>
      <c r="B3" s="1004"/>
      <c r="C3" s="1004"/>
      <c r="D3" s="1004"/>
      <c r="E3" s="1004"/>
      <c r="F3" s="1004"/>
      <c r="G3" s="1004"/>
      <c r="H3" s="1004"/>
      <c r="I3" s="1004"/>
      <c r="J3" s="1004"/>
      <c r="K3" s="1004"/>
      <c r="L3" s="1004"/>
      <c r="M3" s="1004"/>
      <c r="N3" s="1004"/>
      <c r="O3" s="1004"/>
      <c r="P3" s="1004"/>
      <c r="Q3" s="1004"/>
      <c r="R3" s="1004"/>
      <c r="S3" s="1004"/>
    </row>
    <row r="4" spans="1:19" s="175" customFormat="1" ht="13.8" thickBot="1" x14ac:dyDescent="0.3">
      <c r="A4" s="156"/>
      <c r="B4" s="156"/>
      <c r="C4" s="156"/>
      <c r="D4" s="156"/>
      <c r="E4" s="156"/>
      <c r="F4" s="156"/>
      <c r="G4" s="156"/>
      <c r="S4" s="182" t="s">
        <v>180</v>
      </c>
    </row>
    <row r="5" spans="1:19" s="183" customFormat="1" ht="12.75" customHeight="1" thickTop="1" x14ac:dyDescent="0.25">
      <c r="A5" s="977" t="s">
        <v>181</v>
      </c>
      <c r="B5" s="979" t="s">
        <v>133</v>
      </c>
      <c r="C5" s="979"/>
      <c r="D5" s="979"/>
      <c r="E5" s="979" t="s">
        <v>196</v>
      </c>
      <c r="F5" s="979"/>
      <c r="G5" s="979"/>
      <c r="H5" s="979"/>
      <c r="I5" s="979"/>
      <c r="J5" s="979"/>
      <c r="K5" s="979"/>
      <c r="L5" s="979"/>
      <c r="M5" s="979"/>
      <c r="N5" s="979"/>
      <c r="O5" s="979"/>
      <c r="P5" s="979"/>
      <c r="Q5" s="979"/>
      <c r="R5" s="979"/>
      <c r="S5" s="980"/>
    </row>
    <row r="6" spans="1:19" s="183" customFormat="1" ht="39.75" customHeight="1" x14ac:dyDescent="0.25">
      <c r="A6" s="978"/>
      <c r="B6" s="972"/>
      <c r="C6" s="972"/>
      <c r="D6" s="972"/>
      <c r="E6" s="972" t="s">
        <v>197</v>
      </c>
      <c r="F6" s="972"/>
      <c r="G6" s="972"/>
      <c r="H6" s="1005" t="s">
        <v>198</v>
      </c>
      <c r="I6" s="1005"/>
      <c r="J6" s="1005"/>
      <c r="K6" s="1005" t="s">
        <v>199</v>
      </c>
      <c r="L6" s="1005"/>
      <c r="M6" s="1005"/>
      <c r="N6" s="1005" t="s">
        <v>579</v>
      </c>
      <c r="O6" s="1005"/>
      <c r="P6" s="1005"/>
      <c r="Q6" s="1005" t="s">
        <v>207</v>
      </c>
      <c r="R6" s="1005"/>
      <c r="S6" s="1006"/>
    </row>
    <row r="7" spans="1:19" s="186" customFormat="1" ht="24" x14ac:dyDescent="0.25">
      <c r="A7" s="978"/>
      <c r="B7" s="11" t="s">
        <v>184</v>
      </c>
      <c r="C7" s="11" t="s">
        <v>185</v>
      </c>
      <c r="D7" s="11" t="s">
        <v>140</v>
      </c>
      <c r="E7" s="11" t="s">
        <v>184</v>
      </c>
      <c r="F7" s="11" t="s">
        <v>185</v>
      </c>
      <c r="G7" s="11" t="s">
        <v>140</v>
      </c>
      <c r="H7" s="184" t="s">
        <v>184</v>
      </c>
      <c r="I7" s="184" t="s">
        <v>185</v>
      </c>
      <c r="J7" s="184" t="s">
        <v>140</v>
      </c>
      <c r="K7" s="184" t="s">
        <v>184</v>
      </c>
      <c r="L7" s="184" t="s">
        <v>185</v>
      </c>
      <c r="M7" s="184" t="s">
        <v>140</v>
      </c>
      <c r="N7" s="184" t="s">
        <v>184</v>
      </c>
      <c r="O7" s="184" t="s">
        <v>185</v>
      </c>
      <c r="P7" s="184" t="s">
        <v>140</v>
      </c>
      <c r="Q7" s="184" t="s">
        <v>184</v>
      </c>
      <c r="R7" s="184" t="s">
        <v>185</v>
      </c>
      <c r="S7" s="185" t="s">
        <v>140</v>
      </c>
    </row>
    <row r="8" spans="1:19" s="189" customFormat="1" ht="10.199999999999999" x14ac:dyDescent="0.25">
      <c r="A8" s="187" t="s">
        <v>14</v>
      </c>
      <c r="B8" s="139" t="s">
        <v>15</v>
      </c>
      <c r="C8" s="139" t="s">
        <v>16</v>
      </c>
      <c r="D8" s="139" t="s">
        <v>17</v>
      </c>
      <c r="E8" s="139" t="s">
        <v>189</v>
      </c>
      <c r="F8" s="139" t="s">
        <v>200</v>
      </c>
      <c r="G8" s="153" t="s">
        <v>191</v>
      </c>
      <c r="H8" s="188" t="s">
        <v>18</v>
      </c>
      <c r="I8" s="188" t="s">
        <v>19</v>
      </c>
      <c r="J8" s="188" t="s">
        <v>20</v>
      </c>
      <c r="K8" s="188" t="s">
        <v>192</v>
      </c>
      <c r="L8" s="188" t="s">
        <v>193</v>
      </c>
      <c r="M8" s="188" t="s">
        <v>194</v>
      </c>
      <c r="N8" s="188" t="s">
        <v>201</v>
      </c>
      <c r="O8" s="188" t="s">
        <v>202</v>
      </c>
      <c r="P8" s="188" t="s">
        <v>203</v>
      </c>
      <c r="Q8" s="188" t="s">
        <v>204</v>
      </c>
      <c r="R8" s="188" t="s">
        <v>205</v>
      </c>
      <c r="S8" s="271" t="s">
        <v>206</v>
      </c>
    </row>
    <row r="9" spans="1:19" x14ac:dyDescent="0.25">
      <c r="A9" s="103" t="s">
        <v>152</v>
      </c>
      <c r="B9" s="190">
        <f>Черн.!BQ8</f>
        <v>480297.13108000002</v>
      </c>
      <c r="C9" s="190">
        <f>Черн.!BW8</f>
        <v>500998.60131</v>
      </c>
      <c r="D9" s="190">
        <f>C9/B9%</f>
        <v>104.31013822286434</v>
      </c>
      <c r="E9" s="190">
        <f>Черн.!DZ8</f>
        <v>283089.30706000002</v>
      </c>
      <c r="F9" s="190">
        <f>Черн.!EF8</f>
        <v>303888.19290000002</v>
      </c>
      <c r="G9" s="190">
        <f>F9/E9%</f>
        <v>107.34711107812764</v>
      </c>
      <c r="H9" s="190">
        <f>Черн.!CA8</f>
        <v>41382.336779999998</v>
      </c>
      <c r="I9" s="190">
        <f>Черн.!CC8</f>
        <v>32837.465790000002</v>
      </c>
      <c r="J9" s="190">
        <f>I9/H9%</f>
        <v>79.351405321968883</v>
      </c>
      <c r="K9" s="190">
        <f>Черн.!CL8</f>
        <v>42173</v>
      </c>
      <c r="L9" s="190">
        <f>Черн.!CP8</f>
        <v>47030.338009999999</v>
      </c>
      <c r="M9" s="196">
        <f t="shared" ref="M9:M34" si="0">L9/K9%</f>
        <v>111.51764875631328</v>
      </c>
      <c r="N9" s="190">
        <f>Черн.!CV8</f>
        <v>42429.916010000001</v>
      </c>
      <c r="O9" s="190">
        <f>Черн.!CX8</f>
        <v>45424.186679999999</v>
      </c>
      <c r="P9" s="190">
        <f>O9/N9%</f>
        <v>107.05697996030513</v>
      </c>
      <c r="Q9" s="190">
        <f>Черн.!CG8</f>
        <v>6969.8741600000003</v>
      </c>
      <c r="R9" s="190">
        <f>Черн.!CI8</f>
        <v>12058.794809999999</v>
      </c>
      <c r="S9" s="191"/>
    </row>
    <row r="10" spans="1:19" x14ac:dyDescent="0.25">
      <c r="A10" s="103" t="s">
        <v>153</v>
      </c>
      <c r="B10" s="190">
        <f>Черн.!BQ9</f>
        <v>107292.76526</v>
      </c>
      <c r="C10" s="190">
        <f>Черн.!BW9</f>
        <v>107039.98951999999</v>
      </c>
      <c r="D10" s="190">
        <f t="shared" ref="D10:D34" si="1">C10/B10%</f>
        <v>99.76440560611195</v>
      </c>
      <c r="E10" s="190">
        <f>Черн.!DZ9</f>
        <v>48952.740279999998</v>
      </c>
      <c r="F10" s="190">
        <f>Черн.!EF9</f>
        <v>49133.75043</v>
      </c>
      <c r="G10" s="190">
        <f t="shared" ref="G10:G35" si="2">F10/E10%</f>
        <v>100.36976510194252</v>
      </c>
      <c r="H10" s="190">
        <f>Черн.!CA9</f>
        <v>4717.8</v>
      </c>
      <c r="I10" s="190">
        <f>Черн.!CC9</f>
        <v>4729.3572199999999</v>
      </c>
      <c r="J10" s="190">
        <f t="shared" ref="J10:J34" si="3">I10/H10%</f>
        <v>100.24497053711474</v>
      </c>
      <c r="K10" s="190">
        <f>Черн.!CL9</f>
        <v>7525.7180399999997</v>
      </c>
      <c r="L10" s="190">
        <f>Черн.!CP9</f>
        <v>7301.7770499999997</v>
      </c>
      <c r="M10" s="190">
        <f t="shared" si="0"/>
        <v>97.024323940789046</v>
      </c>
      <c r="N10" s="190">
        <f>Черн.!CV9</f>
        <v>18956.141680000001</v>
      </c>
      <c r="O10" s="190">
        <f>Черн.!CX9</f>
        <v>19235.95781</v>
      </c>
      <c r="P10" s="190">
        <f t="shared" ref="P10:P35" si="4">O10/N10%</f>
        <v>101.47612385855516</v>
      </c>
      <c r="Q10" s="190">
        <f>Черн.!CG9</f>
        <v>747</v>
      </c>
      <c r="R10" s="190">
        <f>Черн.!CI9</f>
        <v>742.92746999999997</v>
      </c>
      <c r="S10" s="191">
        <f t="shared" ref="S10:S35" si="5">R10/Q10%</f>
        <v>99.454815261044175</v>
      </c>
    </row>
    <row r="11" spans="1:19" x14ac:dyDescent="0.25">
      <c r="A11" s="103" t="s">
        <v>154</v>
      </c>
      <c r="B11" s="190">
        <f>Черн.!BQ10</f>
        <v>86901</v>
      </c>
      <c r="C11" s="190">
        <f>Черн.!BW10</f>
        <v>85106.305630000003</v>
      </c>
      <c r="D11" s="190">
        <f t="shared" si="1"/>
        <v>97.934782833339085</v>
      </c>
      <c r="E11" s="190">
        <f>Черн.!DZ10</f>
        <v>48229</v>
      </c>
      <c r="F11" s="190">
        <f>Черн.!EF10</f>
        <v>47490.064039999997</v>
      </c>
      <c r="G11" s="190">
        <f t="shared" si="2"/>
        <v>98.46785966949345</v>
      </c>
      <c r="H11" s="190">
        <f>Черн.!CA10</f>
        <v>8303</v>
      </c>
      <c r="I11" s="190">
        <f>Черн.!CC10</f>
        <v>8253.0860599999996</v>
      </c>
      <c r="J11" s="190">
        <f t="shared" si="3"/>
        <v>99.398844514031069</v>
      </c>
      <c r="K11" s="190">
        <f>Черн.!CL10</f>
        <v>6075.9</v>
      </c>
      <c r="L11" s="190">
        <f>Черн.!CP10</f>
        <v>5583.9365600000001</v>
      </c>
      <c r="M11" s="190">
        <f t="shared" si="0"/>
        <v>91.903035928833603</v>
      </c>
      <c r="N11" s="190">
        <f>Черн.!CV10</f>
        <v>10034.6</v>
      </c>
      <c r="O11" s="190">
        <f>Черн.!CX10</f>
        <v>9986.8863399999991</v>
      </c>
      <c r="P11" s="190">
        <f t="shared" si="4"/>
        <v>99.524508600243152</v>
      </c>
      <c r="Q11" s="190">
        <f>Черн.!CG10</f>
        <v>1130.4000000000001</v>
      </c>
      <c r="R11" s="190">
        <f>Черн.!CI10</f>
        <v>883.49851999999998</v>
      </c>
      <c r="S11" s="191">
        <f t="shared" si="5"/>
        <v>78.158043170559097</v>
      </c>
    </row>
    <row r="12" spans="1:19" x14ac:dyDescent="0.25">
      <c r="A12" s="103" t="s">
        <v>155</v>
      </c>
      <c r="B12" s="190">
        <f>Черн.!BQ11</f>
        <v>122189.74</v>
      </c>
      <c r="C12" s="190">
        <f>Черн.!BW11</f>
        <v>132480.24692999999</v>
      </c>
      <c r="D12" s="190">
        <f t="shared" si="1"/>
        <v>108.42174386327362</v>
      </c>
      <c r="E12" s="190">
        <f>Черн.!DZ11</f>
        <v>73731.7</v>
      </c>
      <c r="F12" s="190">
        <f>Черн.!EF11</f>
        <v>86466.601060000001</v>
      </c>
      <c r="G12" s="196">
        <f t="shared" si="2"/>
        <v>117.27194823935973</v>
      </c>
      <c r="H12" s="190">
        <f>Черн.!CA11</f>
        <v>5399</v>
      </c>
      <c r="I12" s="190">
        <f>Черн.!CC11</f>
        <v>5403.27927</v>
      </c>
      <c r="J12" s="190">
        <f t="shared" si="3"/>
        <v>100.07926041859604</v>
      </c>
      <c r="K12" s="190">
        <f>Черн.!CL11</f>
        <v>10170</v>
      </c>
      <c r="L12" s="190">
        <f>Черн.!CP11</f>
        <v>8044.4654700000001</v>
      </c>
      <c r="M12" s="190">
        <f t="shared" si="0"/>
        <v>79.099955457227139</v>
      </c>
      <c r="N12" s="190">
        <f>Черн.!CV11</f>
        <v>16014.7</v>
      </c>
      <c r="O12" s="190">
        <f>Черн.!CX11</f>
        <v>16669.479429999999</v>
      </c>
      <c r="P12" s="190">
        <f t="shared" si="4"/>
        <v>104.08861502244811</v>
      </c>
      <c r="Q12" s="190">
        <f>Черн.!CG11</f>
        <v>715.14</v>
      </c>
      <c r="R12" s="190">
        <f>Черн.!CI11</f>
        <v>314.84174999999999</v>
      </c>
      <c r="S12" s="191">
        <f t="shared" si="5"/>
        <v>44.025190871717427</v>
      </c>
    </row>
    <row r="13" spans="1:19" x14ac:dyDescent="0.25">
      <c r="A13" s="103" t="s">
        <v>156</v>
      </c>
      <c r="B13" s="190">
        <f>Черн.!BQ12</f>
        <v>162038.13138000001</v>
      </c>
      <c r="C13" s="190">
        <f>Черн.!BW12</f>
        <v>166495.26771999997</v>
      </c>
      <c r="D13" s="190">
        <f t="shared" si="1"/>
        <v>102.75067127844582</v>
      </c>
      <c r="E13" s="190">
        <f>Черн.!DZ12</f>
        <v>68402</v>
      </c>
      <c r="F13" s="190">
        <f>Черн.!EF12</f>
        <v>69845.547279999999</v>
      </c>
      <c r="G13" s="190">
        <f t="shared" si="2"/>
        <v>102.11038753252829</v>
      </c>
      <c r="H13" s="190">
        <f>Черн.!CA12</f>
        <v>13695</v>
      </c>
      <c r="I13" s="190">
        <f>Черн.!CC12</f>
        <v>13957.86196</v>
      </c>
      <c r="J13" s="190">
        <f t="shared" si="3"/>
        <v>101.91940094925157</v>
      </c>
      <c r="K13" s="190">
        <f>Черн.!CL12</f>
        <v>16024</v>
      </c>
      <c r="L13" s="190">
        <f>Черн.!CP12</f>
        <v>16686.740750000001</v>
      </c>
      <c r="M13" s="190">
        <f t="shared" si="0"/>
        <v>104.13592579880179</v>
      </c>
      <c r="N13" s="190">
        <f>Черн.!CV12</f>
        <v>20757.723040000001</v>
      </c>
      <c r="O13" s="190">
        <f>Черн.!CX12</f>
        <v>26107.591950000002</v>
      </c>
      <c r="P13" s="190">
        <f t="shared" si="4"/>
        <v>125.77290823126812</v>
      </c>
      <c r="Q13" s="190">
        <f>Черн.!CG12</f>
        <v>16121.997069999999</v>
      </c>
      <c r="R13" s="190">
        <f>Черн.!CI12</f>
        <v>16095.851849999999</v>
      </c>
      <c r="S13" s="191">
        <f t="shared" si="5"/>
        <v>99.837828899940362</v>
      </c>
    </row>
    <row r="14" spans="1:19" x14ac:dyDescent="0.25">
      <c r="A14" s="103" t="s">
        <v>157</v>
      </c>
      <c r="B14" s="190">
        <f>Черн.!BQ13</f>
        <v>188164.31572000001</v>
      </c>
      <c r="C14" s="190">
        <f>Черн.!BW13</f>
        <v>188250.89324</v>
      </c>
      <c r="D14" s="190">
        <f t="shared" si="1"/>
        <v>100.04601165724155</v>
      </c>
      <c r="E14" s="190">
        <f>Черн.!DZ13</f>
        <v>122500.01330999999</v>
      </c>
      <c r="F14" s="190">
        <f>Черн.!EF13</f>
        <v>122738.35794</v>
      </c>
      <c r="G14" s="190">
        <f t="shared" si="2"/>
        <v>100.19456702375767</v>
      </c>
      <c r="H14" s="190">
        <f>Черн.!CA13</f>
        <v>13117.2</v>
      </c>
      <c r="I14" s="190">
        <f>Черн.!CC13</f>
        <v>13387.650149999999</v>
      </c>
      <c r="J14" s="190">
        <f t="shared" si="3"/>
        <v>102.06179786844753</v>
      </c>
      <c r="K14" s="190">
        <f>Черн.!CL13</f>
        <v>16494</v>
      </c>
      <c r="L14" s="190">
        <f>Черн.!CP13</f>
        <v>14649.016509999999</v>
      </c>
      <c r="M14" s="190">
        <f t="shared" si="0"/>
        <v>88.814214320358914</v>
      </c>
      <c r="N14" s="190">
        <f>Черн.!CV13</f>
        <v>10102.496789999999</v>
      </c>
      <c r="O14" s="190">
        <f>Черн.!CX13</f>
        <v>11577.60845</v>
      </c>
      <c r="P14" s="190">
        <f t="shared" si="4"/>
        <v>114.60145635938382</v>
      </c>
      <c r="Q14" s="190">
        <f>Черн.!CG13</f>
        <v>4618.3513000000003</v>
      </c>
      <c r="R14" s="190">
        <f>Черн.!CI13</f>
        <v>5031.0715899999996</v>
      </c>
      <c r="S14" s="191">
        <f t="shared" si="5"/>
        <v>108.93652871317951</v>
      </c>
    </row>
    <row r="15" spans="1:19" x14ac:dyDescent="0.25">
      <c r="A15" s="103" t="s">
        <v>158</v>
      </c>
      <c r="B15" s="190">
        <f>Черн.!BQ14</f>
        <v>201009.74471</v>
      </c>
      <c r="C15" s="190">
        <f>Черн.!BW14</f>
        <v>209675.72254000002</v>
      </c>
      <c r="D15" s="190">
        <f t="shared" si="1"/>
        <v>104.31122274320708</v>
      </c>
      <c r="E15" s="190">
        <f>Черн.!DZ14</f>
        <v>122733.73059000001</v>
      </c>
      <c r="F15" s="190">
        <f>Черн.!EF14</f>
        <v>130979.86261</v>
      </c>
      <c r="G15" s="190">
        <f t="shared" si="2"/>
        <v>106.71871699846453</v>
      </c>
      <c r="H15" s="190">
        <f>Черн.!CA14</f>
        <v>5983.8</v>
      </c>
      <c r="I15" s="190">
        <f>Черн.!CC14</f>
        <v>6212.7841799999997</v>
      </c>
      <c r="J15" s="190">
        <f t="shared" si="3"/>
        <v>103.82673518499949</v>
      </c>
      <c r="K15" s="190">
        <f>Черн.!CL14</f>
        <v>18895.40208</v>
      </c>
      <c r="L15" s="190">
        <f>Черн.!CP14</f>
        <v>18508.502810000002</v>
      </c>
      <c r="M15" s="190">
        <f t="shared" si="0"/>
        <v>97.952415786856875</v>
      </c>
      <c r="N15" s="190">
        <f>Черн.!CV14</f>
        <v>20246.03945</v>
      </c>
      <c r="O15" s="190">
        <f>Черн.!CX14</f>
        <v>18158.468099999998</v>
      </c>
      <c r="P15" s="190">
        <f t="shared" si="4"/>
        <v>89.688989023480332</v>
      </c>
      <c r="Q15" s="190">
        <f>Черн.!CG14</f>
        <v>5309.74208</v>
      </c>
      <c r="R15" s="190">
        <f>Черн.!CI14</f>
        <v>7210.4256100000002</v>
      </c>
      <c r="S15" s="191">
        <f t="shared" si="5"/>
        <v>135.7961554697587</v>
      </c>
    </row>
    <row r="16" spans="1:19" x14ac:dyDescent="0.25">
      <c r="A16" s="103" t="s">
        <v>159</v>
      </c>
      <c r="B16" s="190">
        <f>Черн.!BQ15</f>
        <v>108671.69400999999</v>
      </c>
      <c r="C16" s="190">
        <f>Черн.!BW15</f>
        <v>101894.44149</v>
      </c>
      <c r="D16" s="190">
        <f t="shared" si="1"/>
        <v>93.763553074477386</v>
      </c>
      <c r="E16" s="190">
        <f>Черн.!DZ15</f>
        <v>56897.216639999999</v>
      </c>
      <c r="F16" s="190">
        <f>Черн.!EF15</f>
        <v>53524.395680000001</v>
      </c>
      <c r="G16" s="190">
        <f t="shared" si="2"/>
        <v>94.072080922094116</v>
      </c>
      <c r="H16" s="190">
        <f>Черн.!CA15</f>
        <v>8397.9051999999992</v>
      </c>
      <c r="I16" s="190">
        <f>Черн.!CC15</f>
        <v>7838.3801199999998</v>
      </c>
      <c r="J16" s="190">
        <f t="shared" si="3"/>
        <v>93.337325598769567</v>
      </c>
      <c r="K16" s="190">
        <f>Черн.!CL15</f>
        <v>8454.8369899999998</v>
      </c>
      <c r="L16" s="190">
        <f>Черн.!CP15</f>
        <v>7992.6101099999996</v>
      </c>
      <c r="M16" s="190">
        <f t="shared" si="0"/>
        <v>94.532988861326345</v>
      </c>
      <c r="N16" s="190">
        <f>Черн.!CV15</f>
        <v>10972.10838</v>
      </c>
      <c r="O16" s="190">
        <f>Черн.!CX15</f>
        <v>11167.3397</v>
      </c>
      <c r="P16" s="190">
        <f t="shared" si="4"/>
        <v>101.77934188433527</v>
      </c>
      <c r="Q16" s="190">
        <f>Черн.!CG15</f>
        <v>1517.9</v>
      </c>
      <c r="R16" s="190">
        <f>Черн.!CI15</f>
        <v>1321.43677</v>
      </c>
      <c r="S16" s="191">
        <f t="shared" si="5"/>
        <v>87.05690559325383</v>
      </c>
    </row>
    <row r="17" spans="1:19" x14ac:dyDescent="0.25">
      <c r="A17" s="103" t="s">
        <v>160</v>
      </c>
      <c r="B17" s="190">
        <f>Черн.!BQ16</f>
        <v>161962.16550999999</v>
      </c>
      <c r="C17" s="190">
        <f>Черн.!BW16</f>
        <v>168615.17905999999</v>
      </c>
      <c r="D17" s="190">
        <f t="shared" si="1"/>
        <v>104.10775783903014</v>
      </c>
      <c r="E17" s="190">
        <f>Черн.!DZ16</f>
        <v>110000.16722</v>
      </c>
      <c r="F17" s="190">
        <f>Черн.!EF16</f>
        <v>116627.84061</v>
      </c>
      <c r="G17" s="190">
        <f t="shared" si="2"/>
        <v>106.02514846795157</v>
      </c>
      <c r="H17" s="190">
        <f>Черн.!CA16</f>
        <v>8087.2123000000001</v>
      </c>
      <c r="I17" s="190">
        <f>Черн.!CC16</f>
        <v>8328.9035299999996</v>
      </c>
      <c r="J17" s="190">
        <f t="shared" si="3"/>
        <v>102.98856047095487</v>
      </c>
      <c r="K17" s="190">
        <f>Черн.!CL16</f>
        <v>10352</v>
      </c>
      <c r="L17" s="190">
        <f>Черн.!CP16</f>
        <v>10951.276250000001</v>
      </c>
      <c r="M17" s="190">
        <f t="shared" si="0"/>
        <v>105.78899005023185</v>
      </c>
      <c r="N17" s="190">
        <f>Черн.!CV16</f>
        <v>14894.15266</v>
      </c>
      <c r="O17" s="190">
        <f>Черн.!CX16</f>
        <v>14726.39746</v>
      </c>
      <c r="P17" s="190">
        <f t="shared" si="4"/>
        <v>98.873684164319556</v>
      </c>
      <c r="Q17" s="190">
        <f>Черн.!CG16</f>
        <v>3296.73128</v>
      </c>
      <c r="R17" s="190">
        <f>Черн.!CI16</f>
        <v>2321.5702000000001</v>
      </c>
      <c r="S17" s="191">
        <f t="shared" si="5"/>
        <v>70.420364986496566</v>
      </c>
    </row>
    <row r="18" spans="1:19" x14ac:dyDescent="0.25">
      <c r="A18" s="103" t="s">
        <v>161</v>
      </c>
      <c r="B18" s="190">
        <f>Черн.!BQ17</f>
        <v>53790.128980000001</v>
      </c>
      <c r="C18" s="190">
        <f>Черн.!BW17</f>
        <v>55902.257519999999</v>
      </c>
      <c r="D18" s="190">
        <f t="shared" si="1"/>
        <v>103.92660991905285</v>
      </c>
      <c r="E18" s="190">
        <f>Черн.!DZ17</f>
        <v>34036.199999999997</v>
      </c>
      <c r="F18" s="190">
        <f>Черн.!EF17</f>
        <v>36310.61477</v>
      </c>
      <c r="G18" s="190">
        <f t="shared" si="2"/>
        <v>106.68234047866684</v>
      </c>
      <c r="H18" s="190">
        <f>Черн.!CA17</f>
        <v>3125</v>
      </c>
      <c r="I18" s="190">
        <f>Черн.!CC17</f>
        <v>2549.1206299999999</v>
      </c>
      <c r="J18" s="190">
        <f t="shared" si="3"/>
        <v>81.57186016</v>
      </c>
      <c r="K18" s="190">
        <f>Черн.!CL17</f>
        <v>1545</v>
      </c>
      <c r="L18" s="190">
        <f>Черн.!CP17</f>
        <v>1609.99729</v>
      </c>
      <c r="M18" s="190">
        <f t="shared" si="0"/>
        <v>104.20694433656959</v>
      </c>
      <c r="N18" s="190">
        <f>Черн.!CV17</f>
        <v>6051</v>
      </c>
      <c r="O18" s="190">
        <f>Черн.!CX17</f>
        <v>6498.57834</v>
      </c>
      <c r="P18" s="190">
        <f t="shared" si="4"/>
        <v>107.39676648487854</v>
      </c>
      <c r="Q18" s="190">
        <f>Черн.!CG17</f>
        <v>544</v>
      </c>
      <c r="R18" s="190">
        <f>Черн.!CI17</f>
        <v>33.548639999999999</v>
      </c>
      <c r="S18" s="198">
        <f t="shared" si="5"/>
        <v>6.1670294117647053</v>
      </c>
    </row>
    <row r="19" spans="1:19" x14ac:dyDescent="0.25">
      <c r="A19" s="103" t="s">
        <v>162</v>
      </c>
      <c r="B19" s="190">
        <f>Черн.!BQ18</f>
        <v>195887.26394999999</v>
      </c>
      <c r="C19" s="190">
        <f>Черн.!BW18</f>
        <v>210063.20769000001</v>
      </c>
      <c r="D19" s="190">
        <f t="shared" si="1"/>
        <v>107.2367868406281</v>
      </c>
      <c r="E19" s="190">
        <f>Черн.!DZ18</f>
        <v>124419.995</v>
      </c>
      <c r="F19" s="190">
        <f>Черн.!EF18</f>
        <v>136501.83413</v>
      </c>
      <c r="G19" s="190">
        <f t="shared" si="2"/>
        <v>109.71052854486935</v>
      </c>
      <c r="H19" s="190">
        <f>Черн.!CA18</f>
        <v>24785.641</v>
      </c>
      <c r="I19" s="190">
        <f>Черн.!CC18</f>
        <v>26799.626560000001</v>
      </c>
      <c r="J19" s="190">
        <f t="shared" si="3"/>
        <v>108.12561418121082</v>
      </c>
      <c r="K19" s="190">
        <f>Черн.!CL18</f>
        <v>5323</v>
      </c>
      <c r="L19" s="190">
        <f>Черн.!CP18</f>
        <v>5527.8834800000004</v>
      </c>
      <c r="M19" s="190">
        <f t="shared" si="0"/>
        <v>103.84902273154238</v>
      </c>
      <c r="N19" s="190">
        <f>Черн.!CV18</f>
        <v>7760.3827099999999</v>
      </c>
      <c r="O19" s="190">
        <f>Черн.!CX18</f>
        <v>6982.9873900000002</v>
      </c>
      <c r="P19" s="190">
        <f t="shared" si="4"/>
        <v>89.982513117577938</v>
      </c>
      <c r="Q19" s="190">
        <f>Черн.!CG18</f>
        <v>2199.2849999999999</v>
      </c>
      <c r="R19" s="190">
        <f>Черн.!CI18</f>
        <v>2496.5876699999999</v>
      </c>
      <c r="S19" s="191">
        <f t="shared" si="5"/>
        <v>113.51815112638882</v>
      </c>
    </row>
    <row r="20" spans="1:19" x14ac:dyDescent="0.25">
      <c r="A20" s="103" t="s">
        <v>163</v>
      </c>
      <c r="B20" s="190">
        <f>Черн.!BQ19</f>
        <v>263124.19999999995</v>
      </c>
      <c r="C20" s="190">
        <f>Черн.!BW19</f>
        <v>265890.81617000001</v>
      </c>
      <c r="D20" s="190">
        <f t="shared" si="1"/>
        <v>101.0514487721008</v>
      </c>
      <c r="E20" s="190">
        <f>Черн.!DZ19</f>
        <v>177338</v>
      </c>
      <c r="F20" s="190">
        <f>Черн.!EF19</f>
        <v>178747.28704</v>
      </c>
      <c r="G20" s="190">
        <f t="shared" si="2"/>
        <v>100.794689823952</v>
      </c>
      <c r="H20" s="190">
        <f>Черн.!CA19</f>
        <v>23032</v>
      </c>
      <c r="I20" s="190">
        <f>Черн.!CC19</f>
        <v>17787.890319999999</v>
      </c>
      <c r="J20" s="190">
        <f t="shared" si="3"/>
        <v>77.231201458839877</v>
      </c>
      <c r="K20" s="190">
        <f>Черн.!CL19</f>
        <v>22091</v>
      </c>
      <c r="L20" s="190">
        <f>Черн.!CP19</f>
        <v>22260.024389999999</v>
      </c>
      <c r="M20" s="190">
        <f t="shared" si="0"/>
        <v>100.76512783486487</v>
      </c>
      <c r="N20" s="190">
        <f>Черн.!CV19</f>
        <v>20271.2</v>
      </c>
      <c r="O20" s="190">
        <f>Черн.!CX19</f>
        <v>23554.784680000001</v>
      </c>
      <c r="P20" s="190">
        <f t="shared" si="4"/>
        <v>116.19827479379612</v>
      </c>
      <c r="Q20" s="190">
        <f>Черн.!CG19</f>
        <v>1925</v>
      </c>
      <c r="R20" s="190">
        <f>Черн.!CI19</f>
        <v>3164.57233</v>
      </c>
      <c r="S20" s="191">
        <f t="shared" si="5"/>
        <v>164.39336779220778</v>
      </c>
    </row>
    <row r="21" spans="1:19" x14ac:dyDescent="0.25">
      <c r="A21" s="103" t="s">
        <v>164</v>
      </c>
      <c r="B21" s="190">
        <f>Черн.!BQ20</f>
        <v>245688.82899999997</v>
      </c>
      <c r="C21" s="190">
        <f>Черн.!BW20</f>
        <v>234149.82373</v>
      </c>
      <c r="D21" s="190">
        <f t="shared" si="1"/>
        <v>95.303406623343065</v>
      </c>
      <c r="E21" s="190">
        <f>Черн.!DZ20</f>
        <v>156105.79999999999</v>
      </c>
      <c r="F21" s="190">
        <f>Черн.!EF20</f>
        <v>156062.82157999999</v>
      </c>
      <c r="G21" s="190">
        <f t="shared" si="2"/>
        <v>99.97246840283961</v>
      </c>
      <c r="H21" s="190">
        <f>Черн.!CA20</f>
        <v>16091</v>
      </c>
      <c r="I21" s="190">
        <f>Черн.!CC20</f>
        <v>14987.12018</v>
      </c>
      <c r="J21" s="190">
        <f t="shared" si="3"/>
        <v>93.139768690572367</v>
      </c>
      <c r="K21" s="190">
        <f>Черн.!CL20</f>
        <v>13682.4</v>
      </c>
      <c r="L21" s="190">
        <f>Черн.!CP20</f>
        <v>13091.59744</v>
      </c>
      <c r="M21" s="190">
        <f t="shared" si="0"/>
        <v>95.682025375665091</v>
      </c>
      <c r="N21" s="190">
        <f>Черн.!CV20</f>
        <v>24587.65886</v>
      </c>
      <c r="O21" s="190">
        <f>Черн.!CX20</f>
        <v>22729.88567</v>
      </c>
      <c r="P21" s="190">
        <f t="shared" si="4"/>
        <v>92.444285970543191</v>
      </c>
      <c r="Q21" s="190">
        <f>Черн.!CG20</f>
        <v>6271.65888</v>
      </c>
      <c r="R21" s="190">
        <f>Черн.!CI20</f>
        <v>1593.9386099999999</v>
      </c>
      <c r="S21" s="191">
        <f t="shared" si="5"/>
        <v>25.414944283449294</v>
      </c>
    </row>
    <row r="22" spans="1:19" x14ac:dyDescent="0.25">
      <c r="A22" s="103" t="s">
        <v>165</v>
      </c>
      <c r="B22" s="190">
        <f>Черн.!BQ21</f>
        <v>196124.00399999999</v>
      </c>
      <c r="C22" s="190">
        <f>Черн.!BW21</f>
        <v>215338.99812999999</v>
      </c>
      <c r="D22" s="196">
        <f t="shared" si="1"/>
        <v>109.79736989766944</v>
      </c>
      <c r="E22" s="190">
        <f>Черн.!DZ21</f>
        <v>131557.85083000001</v>
      </c>
      <c r="F22" s="190">
        <f>Черн.!EF21</f>
        <v>151286.88372000001</v>
      </c>
      <c r="G22" s="190">
        <f t="shared" si="2"/>
        <v>114.9964694357116</v>
      </c>
      <c r="H22" s="190">
        <f>Черн.!CA21</f>
        <v>11827.9</v>
      </c>
      <c r="I22" s="190">
        <f>Черн.!CC21</f>
        <v>11204.545899999999</v>
      </c>
      <c r="J22" s="190">
        <f t="shared" si="3"/>
        <v>94.729799034486248</v>
      </c>
      <c r="K22" s="190">
        <f>Черн.!CL21</f>
        <v>13584.2</v>
      </c>
      <c r="L22" s="190">
        <f>Черн.!CP21</f>
        <v>13494.79747</v>
      </c>
      <c r="M22" s="190">
        <f t="shared" si="0"/>
        <v>99.341863856539206</v>
      </c>
      <c r="N22" s="190">
        <f>Черн.!CV21</f>
        <v>13103.78515</v>
      </c>
      <c r="O22" s="190">
        <f>Черн.!CX21</f>
        <v>15662.028039999999</v>
      </c>
      <c r="P22" s="190">
        <f t="shared" si="4"/>
        <v>119.52293067015069</v>
      </c>
      <c r="Q22" s="190">
        <f>Черн.!CG21</f>
        <v>1276.33502</v>
      </c>
      <c r="R22" s="190">
        <f>Черн.!CI21</f>
        <v>535.57209999999998</v>
      </c>
      <c r="S22" s="191">
        <f t="shared" si="5"/>
        <v>41.961717856805336</v>
      </c>
    </row>
    <row r="23" spans="1:19" x14ac:dyDescent="0.25">
      <c r="A23" s="103" t="s">
        <v>166</v>
      </c>
      <c r="B23" s="190">
        <f>Черн.!BQ22</f>
        <v>366762.09166999999</v>
      </c>
      <c r="C23" s="190">
        <f>Черн.!BW22</f>
        <v>362458.13092999998</v>
      </c>
      <c r="D23" s="190">
        <f t="shared" si="1"/>
        <v>98.826497929379101</v>
      </c>
      <c r="E23" s="190">
        <f>Черн.!DZ22</f>
        <v>230207</v>
      </c>
      <c r="F23" s="190">
        <f>Черн.!EF22</f>
        <v>232147.3818</v>
      </c>
      <c r="G23" s="190">
        <f t="shared" si="2"/>
        <v>100.84288566377217</v>
      </c>
      <c r="H23" s="190">
        <f>Черн.!CA22</f>
        <v>20156</v>
      </c>
      <c r="I23" s="190">
        <f>Черн.!CC22</f>
        <v>20982.734850000001</v>
      </c>
      <c r="J23" s="190">
        <f t="shared" si="3"/>
        <v>104.10168113713038</v>
      </c>
      <c r="K23" s="190">
        <f>Черн.!CL22</f>
        <v>38256.5</v>
      </c>
      <c r="L23" s="190">
        <f>Черн.!CP22</f>
        <v>31357.452799999999</v>
      </c>
      <c r="M23" s="190">
        <f t="shared" si="0"/>
        <v>81.966339837674639</v>
      </c>
      <c r="N23" s="190">
        <f>Черн.!CV22</f>
        <v>36388.18737</v>
      </c>
      <c r="O23" s="190">
        <f>Черн.!CX22</f>
        <v>34191.628960000002</v>
      </c>
      <c r="P23" s="190">
        <f t="shared" si="4"/>
        <v>93.9635399046809</v>
      </c>
      <c r="Q23" s="190">
        <f>Черн.!CG22</f>
        <v>5715.4835899999998</v>
      </c>
      <c r="R23" s="190">
        <f>Черн.!CI22</f>
        <v>10830.663769999999</v>
      </c>
      <c r="S23" s="191">
        <f t="shared" si="5"/>
        <v>189.49689207313426</v>
      </c>
    </row>
    <row r="24" spans="1:19" x14ac:dyDescent="0.25">
      <c r="A24" s="103" t="s">
        <v>167</v>
      </c>
      <c r="B24" s="190">
        <f>Черн.!BQ23</f>
        <v>453809.75286000001</v>
      </c>
      <c r="C24" s="190">
        <f>Черн.!BW23</f>
        <v>464257.67924999999</v>
      </c>
      <c r="D24" s="190">
        <f t="shared" si="1"/>
        <v>102.30227013063404</v>
      </c>
      <c r="E24" s="190">
        <f>Черн.!DZ23</f>
        <v>301225.35689</v>
      </c>
      <c r="F24" s="190">
        <f>Черн.!EF23</f>
        <v>308469.29074000003</v>
      </c>
      <c r="G24" s="190">
        <f t="shared" si="2"/>
        <v>102.40482206570854</v>
      </c>
      <c r="H24" s="190">
        <f>Черн.!CA23</f>
        <v>6173.3504199999998</v>
      </c>
      <c r="I24" s="190">
        <f>Черн.!CC23</f>
        <v>6132.9966899999999</v>
      </c>
      <c r="J24" s="190">
        <f t="shared" si="3"/>
        <v>99.346323677508011</v>
      </c>
      <c r="K24" s="190">
        <f>Черн.!CL23</f>
        <v>47447.147380000002</v>
      </c>
      <c r="L24" s="190">
        <f>Черн.!CP23</f>
        <v>48647.12182</v>
      </c>
      <c r="M24" s="190">
        <f t="shared" si="0"/>
        <v>102.52907604832281</v>
      </c>
      <c r="N24" s="190">
        <f>Черн.!CV23</f>
        <v>36896.73992</v>
      </c>
      <c r="O24" s="190">
        <f>Черн.!CX23</f>
        <v>37716.018649999998</v>
      </c>
      <c r="P24" s="190">
        <f t="shared" si="4"/>
        <v>102.22046373684063</v>
      </c>
      <c r="Q24" s="190">
        <f>Черн.!CG23</f>
        <v>20175.666590000001</v>
      </c>
      <c r="R24" s="190">
        <f>Черн.!CI23</f>
        <v>22620.933949999999</v>
      </c>
      <c r="S24" s="191">
        <f t="shared" si="5"/>
        <v>112.1198838664988</v>
      </c>
    </row>
    <row r="25" spans="1:19" x14ac:dyDescent="0.25">
      <c r="A25" s="103" t="s">
        <v>168</v>
      </c>
      <c r="B25" s="190">
        <f>Черн.!BQ24</f>
        <v>329670.36228999996</v>
      </c>
      <c r="C25" s="190">
        <f>Черн.!BW24</f>
        <v>286865.73931000003</v>
      </c>
      <c r="D25" s="196">
        <f t="shared" si="1"/>
        <v>87.015932314125905</v>
      </c>
      <c r="E25" s="190">
        <f>Черн.!DZ24</f>
        <v>213975.52512999999</v>
      </c>
      <c r="F25" s="190">
        <f>Черн.!EF24</f>
        <v>177208.67363999999</v>
      </c>
      <c r="G25" s="196">
        <f t="shared" si="2"/>
        <v>82.817263110973812</v>
      </c>
      <c r="H25" s="190">
        <f>Черн.!CA24</f>
        <v>24378.190999999999</v>
      </c>
      <c r="I25" s="190">
        <f>Черн.!CC24</f>
        <v>19437.432219999999</v>
      </c>
      <c r="J25" s="190">
        <f t="shared" si="3"/>
        <v>79.732873616422154</v>
      </c>
      <c r="K25" s="190">
        <f>Черн.!CL24</f>
        <v>22066.01094</v>
      </c>
      <c r="L25" s="190">
        <f>Черн.!CP24</f>
        <v>21606.38148</v>
      </c>
      <c r="M25" s="190">
        <f t="shared" si="0"/>
        <v>97.91702514219817</v>
      </c>
      <c r="N25" s="190">
        <f>Черн.!CV24</f>
        <v>28258.289250000002</v>
      </c>
      <c r="O25" s="190">
        <f>Черн.!CX24</f>
        <v>27140.180820000001</v>
      </c>
      <c r="P25" s="190">
        <f t="shared" si="4"/>
        <v>96.043255060105949</v>
      </c>
      <c r="Q25" s="190">
        <f>Черн.!CG24</f>
        <v>3275.4443099999999</v>
      </c>
      <c r="R25" s="190">
        <f>Черн.!CI24</f>
        <v>7228.48297</v>
      </c>
      <c r="S25" s="198">
        <f t="shared" si="5"/>
        <v>220.6870972567383</v>
      </c>
    </row>
    <row r="26" spans="1:19" x14ac:dyDescent="0.25">
      <c r="A26" s="103" t="s">
        <v>169</v>
      </c>
      <c r="B26" s="190">
        <f>Черн.!BQ25</f>
        <v>188557.06739000001</v>
      </c>
      <c r="C26" s="190">
        <f>Черн.!BW25</f>
        <v>195069.90592000002</v>
      </c>
      <c r="D26" s="190">
        <f t="shared" si="1"/>
        <v>103.45404106043357</v>
      </c>
      <c r="E26" s="190">
        <f>Черн.!DZ25</f>
        <v>89410</v>
      </c>
      <c r="F26" s="190">
        <f>Черн.!EF25</f>
        <v>96055.690589999998</v>
      </c>
      <c r="G26" s="190">
        <f t="shared" si="2"/>
        <v>107.43282696566379</v>
      </c>
      <c r="H26" s="190">
        <f>Черн.!CA25</f>
        <v>13366.643</v>
      </c>
      <c r="I26" s="190">
        <f>Черн.!CC25</f>
        <v>13297.11987</v>
      </c>
      <c r="J26" s="190">
        <f t="shared" si="3"/>
        <v>99.479875911999756</v>
      </c>
      <c r="K26" s="190">
        <f>Черн.!CL25</f>
        <v>19890.967000000001</v>
      </c>
      <c r="L26" s="190">
        <f>Черн.!CP25</f>
        <v>19848.0524</v>
      </c>
      <c r="M26" s="190">
        <f t="shared" si="0"/>
        <v>99.784250810933429</v>
      </c>
      <c r="N26" s="190">
        <f>Черн.!CV25</f>
        <v>29934.346600000001</v>
      </c>
      <c r="O26" s="190">
        <f>Черн.!CX25</f>
        <v>31300.50304</v>
      </c>
      <c r="P26" s="190">
        <f t="shared" si="4"/>
        <v>104.56384252596312</v>
      </c>
      <c r="Q26" s="190">
        <f>Черн.!CG25</f>
        <v>16216.58656</v>
      </c>
      <c r="R26" s="190">
        <f>Черн.!CI25</f>
        <v>15998.85864</v>
      </c>
      <c r="S26" s="191">
        <f t="shared" si="5"/>
        <v>98.657375156020507</v>
      </c>
    </row>
    <row r="27" spans="1:19" x14ac:dyDescent="0.25">
      <c r="A27" s="103" t="s">
        <v>170</v>
      </c>
      <c r="B27" s="190">
        <f>Черн.!BQ26</f>
        <v>97564.834220000004</v>
      </c>
      <c r="C27" s="190">
        <f>Черн.!BW26</f>
        <v>93202.582930000004</v>
      </c>
      <c r="D27" s="190">
        <f t="shared" si="1"/>
        <v>95.528869264346298</v>
      </c>
      <c r="E27" s="190">
        <f>Черн.!DZ26</f>
        <v>49103</v>
      </c>
      <c r="F27" s="190">
        <f>Черн.!EF26</f>
        <v>46018.432719999997</v>
      </c>
      <c r="G27" s="190">
        <f t="shared" si="2"/>
        <v>93.718169399018393</v>
      </c>
      <c r="H27" s="190">
        <f>Черн.!CA26</f>
        <v>8045</v>
      </c>
      <c r="I27" s="190">
        <f>Черн.!CC26</f>
        <v>6776.4196300000003</v>
      </c>
      <c r="J27" s="190">
        <f t="shared" si="3"/>
        <v>84.231443505282783</v>
      </c>
      <c r="K27" s="190">
        <f>Черн.!CL26</f>
        <v>11399</v>
      </c>
      <c r="L27" s="190">
        <f>Черн.!CP26</f>
        <v>10442.932349999999</v>
      </c>
      <c r="M27" s="190">
        <f t="shared" si="0"/>
        <v>91.612705939117461</v>
      </c>
      <c r="N27" s="190">
        <f>Черн.!CV26</f>
        <v>11528.45822</v>
      </c>
      <c r="O27" s="190">
        <f>Черн.!CX26</f>
        <v>11864.554340000001</v>
      </c>
      <c r="P27" s="190">
        <f t="shared" si="4"/>
        <v>102.91536052424537</v>
      </c>
      <c r="Q27" s="190">
        <f>Черн.!CG26</f>
        <v>514.74199999999996</v>
      </c>
      <c r="R27" s="190">
        <f>Черн.!CI26</f>
        <v>622.32219999999995</v>
      </c>
      <c r="S27" s="191">
        <f t="shared" si="5"/>
        <v>120.89982942911206</v>
      </c>
    </row>
    <row r="28" spans="1:19" x14ac:dyDescent="0.25">
      <c r="A28" s="103" t="s">
        <v>171</v>
      </c>
      <c r="B28" s="190">
        <f>Черн.!BQ27</f>
        <v>4833058.8</v>
      </c>
      <c r="C28" s="190">
        <f>Черн.!BW27</f>
        <v>5215184.3695299998</v>
      </c>
      <c r="D28" s="190">
        <f t="shared" si="1"/>
        <v>107.9064953550741</v>
      </c>
      <c r="E28" s="190">
        <f>Черн.!DZ27</f>
        <v>3405928.2</v>
      </c>
      <c r="F28" s="190">
        <f>Черн.!EF27</f>
        <v>3669148.91016</v>
      </c>
      <c r="G28" s="190">
        <f t="shared" si="2"/>
        <v>107.72831060149771</v>
      </c>
      <c r="H28" s="190">
        <f>Черн.!CA27</f>
        <v>413156</v>
      </c>
      <c r="I28" s="190">
        <f>Черн.!CC27</f>
        <v>417107.77246000001</v>
      </c>
      <c r="J28" s="190">
        <f t="shared" si="3"/>
        <v>100.95648434489635</v>
      </c>
      <c r="K28" s="190">
        <f>Черн.!CL27</f>
        <v>273675</v>
      </c>
      <c r="L28" s="190">
        <f>Черн.!CP27</f>
        <v>283594.77234000002</v>
      </c>
      <c r="M28" s="190">
        <f t="shared" si="0"/>
        <v>103.62465418470815</v>
      </c>
      <c r="N28" s="190">
        <f>Черн.!CV27</f>
        <v>389104.12300000002</v>
      </c>
      <c r="O28" s="190">
        <f>Черн.!CX27</f>
        <v>422013.43037999998</v>
      </c>
      <c r="P28" s="190">
        <f t="shared" si="4"/>
        <v>108.45771232807007</v>
      </c>
      <c r="Q28" s="190">
        <f>Черн.!CG27</f>
        <v>73166.02</v>
      </c>
      <c r="R28" s="190">
        <f>Черн.!CI27</f>
        <v>81112.102400000003</v>
      </c>
      <c r="S28" s="191">
        <f t="shared" si="5"/>
        <v>110.86034528050043</v>
      </c>
    </row>
    <row r="29" spans="1:19" x14ac:dyDescent="0.25">
      <c r="A29" s="103" t="s">
        <v>172</v>
      </c>
      <c r="B29" s="190">
        <f>Черн.!BQ28</f>
        <v>3674473.2015200001</v>
      </c>
      <c r="C29" s="190">
        <f>Черн.!BW28</f>
        <v>3680121.9987599999</v>
      </c>
      <c r="D29" s="190">
        <f t="shared" si="1"/>
        <v>100.15373080521211</v>
      </c>
      <c r="E29" s="190">
        <f>Черн.!DZ28</f>
        <v>2916200</v>
      </c>
      <c r="F29" s="190">
        <f>Черн.!EF28</f>
        <v>2912737.8464000002</v>
      </c>
      <c r="G29" s="190">
        <f t="shared" si="2"/>
        <v>99.88127859543242</v>
      </c>
      <c r="H29" s="190">
        <f>Черн.!CA28</f>
        <v>108539</v>
      </c>
      <c r="I29" s="190">
        <f>Черн.!CC28</f>
        <v>109715.67354</v>
      </c>
      <c r="J29" s="190">
        <f t="shared" si="3"/>
        <v>101.08410206469563</v>
      </c>
      <c r="K29" s="190">
        <f>Черн.!CL28</f>
        <v>160626</v>
      </c>
      <c r="L29" s="190">
        <f>Черн.!CP28</f>
        <v>147423.65616000001</v>
      </c>
      <c r="M29" s="190">
        <f t="shared" si="0"/>
        <v>91.780693138097206</v>
      </c>
      <c r="N29" s="190">
        <f>Черн.!CV28</f>
        <v>269577.08701999998</v>
      </c>
      <c r="O29" s="190">
        <f>Черн.!CX28</f>
        <v>263066.16531000001</v>
      </c>
      <c r="P29" s="190">
        <f t="shared" si="4"/>
        <v>97.584764424167503</v>
      </c>
      <c r="Q29" s="190">
        <f>Черн.!CG28</f>
        <v>125183.9981</v>
      </c>
      <c r="R29" s="190">
        <f>Черн.!CI28</f>
        <v>132121.21432</v>
      </c>
      <c r="S29" s="191">
        <f t="shared" si="5"/>
        <v>105.54161580177234</v>
      </c>
    </row>
    <row r="30" spans="1:19" x14ac:dyDescent="0.25">
      <c r="A30" s="103" t="s">
        <v>173</v>
      </c>
      <c r="B30" s="190">
        <f>Черн.!BQ29</f>
        <v>773613.3</v>
      </c>
      <c r="C30" s="190">
        <f>Черн.!BW29</f>
        <v>830082.83700000006</v>
      </c>
      <c r="D30" s="190">
        <f t="shared" si="1"/>
        <v>107.29945271106378</v>
      </c>
      <c r="E30" s="190">
        <f>Черн.!DZ29</f>
        <v>521220</v>
      </c>
      <c r="F30" s="190">
        <f>Черн.!EF29</f>
        <v>545416.57374999998</v>
      </c>
      <c r="G30" s="190">
        <f t="shared" si="2"/>
        <v>104.64229571965772</v>
      </c>
      <c r="H30" s="190">
        <f>Черн.!CA29</f>
        <v>86300</v>
      </c>
      <c r="I30" s="190">
        <f>Черн.!CC29</f>
        <v>67146.68144</v>
      </c>
      <c r="J30" s="190">
        <f t="shared" si="3"/>
        <v>77.806119860950176</v>
      </c>
      <c r="K30" s="190">
        <f>Черн.!CL29</f>
        <v>70588.600000000006</v>
      </c>
      <c r="L30" s="190">
        <f>Черн.!CP29</f>
        <v>75182.915859999994</v>
      </c>
      <c r="M30" s="190">
        <f t="shared" si="0"/>
        <v>106.50858050733403</v>
      </c>
      <c r="N30" s="190">
        <f>Черн.!CV29</f>
        <v>52141.3</v>
      </c>
      <c r="O30" s="190">
        <f>Черн.!CX29</f>
        <v>85607.502529999998</v>
      </c>
      <c r="P30" s="196">
        <f t="shared" si="4"/>
        <v>164.18367499467792</v>
      </c>
      <c r="Q30" s="190">
        <f>Черн.!CG29</f>
        <v>8728.2000000000007</v>
      </c>
      <c r="R30" s="190">
        <f>Черн.!CI29</f>
        <v>14569.70658</v>
      </c>
      <c r="S30" s="191">
        <f t="shared" si="5"/>
        <v>166.92681858802501</v>
      </c>
    </row>
    <row r="31" spans="1:19" x14ac:dyDescent="0.25">
      <c r="A31" s="103" t="s">
        <v>174</v>
      </c>
      <c r="B31" s="190">
        <f>Черн.!BQ30</f>
        <v>405499.9</v>
      </c>
      <c r="C31" s="190">
        <f>Черн.!BW30</f>
        <v>383877.02227999998</v>
      </c>
      <c r="D31" s="190">
        <f t="shared" si="1"/>
        <v>94.667599740468475</v>
      </c>
      <c r="E31" s="190">
        <f>Черн.!DZ30</f>
        <v>294355</v>
      </c>
      <c r="F31" s="190">
        <f>Черн.!EF30</f>
        <v>296639.49716000003</v>
      </c>
      <c r="G31" s="190">
        <f t="shared" si="2"/>
        <v>100.77610271950536</v>
      </c>
      <c r="H31" s="190">
        <f>Черн.!CA30</f>
        <v>19824</v>
      </c>
      <c r="I31" s="190">
        <f>Черн.!CC30</f>
        <v>13847.3907</v>
      </c>
      <c r="J31" s="196">
        <f t="shared" si="3"/>
        <v>69.8516480024213</v>
      </c>
      <c r="K31" s="190">
        <f>Черн.!CL30</f>
        <v>51576</v>
      </c>
      <c r="L31" s="190">
        <f>Черн.!CP30</f>
        <v>31846.393309999999</v>
      </c>
      <c r="M31" s="196">
        <f t="shared" si="0"/>
        <v>61.746535811230032</v>
      </c>
      <c r="N31" s="190">
        <f>Черн.!CV30</f>
        <v>20471</v>
      </c>
      <c r="O31" s="190">
        <f>Черн.!CX30</f>
        <v>17232.242999999999</v>
      </c>
      <c r="P31" s="196">
        <f t="shared" si="4"/>
        <v>84.178804161985241</v>
      </c>
      <c r="Q31" s="190">
        <f>Черн.!CG30</f>
        <v>600</v>
      </c>
      <c r="R31" s="190">
        <f>Черн.!CI30</f>
        <v>1109.5462399999999</v>
      </c>
      <c r="S31" s="191">
        <f t="shared" si="5"/>
        <v>184.92437333333331</v>
      </c>
    </row>
    <row r="32" spans="1:19" x14ac:dyDescent="0.25">
      <c r="A32" s="103" t="s">
        <v>175</v>
      </c>
      <c r="B32" s="190">
        <f>Черн.!BQ31</f>
        <v>443317.72700000001</v>
      </c>
      <c r="C32" s="190">
        <f>Черн.!BW31</f>
        <v>452270.97219</v>
      </c>
      <c r="D32" s="190">
        <f t="shared" si="1"/>
        <v>102.01960008470404</v>
      </c>
      <c r="E32" s="190">
        <f>Черн.!DZ31</f>
        <v>344061.61206999997</v>
      </c>
      <c r="F32" s="190">
        <f>Черн.!EF31</f>
        <v>352175.76510999998</v>
      </c>
      <c r="G32" s="190">
        <f t="shared" si="2"/>
        <v>102.35834302791943</v>
      </c>
      <c r="H32" s="190">
        <f>Черн.!CA31</f>
        <v>21242.560000000001</v>
      </c>
      <c r="I32" s="190">
        <f>Черн.!CC31</f>
        <v>21616.619060000001</v>
      </c>
      <c r="J32" s="190">
        <f t="shared" si="3"/>
        <v>101.7608944496332</v>
      </c>
      <c r="K32" s="190">
        <f>Черн.!CL31</f>
        <v>34978.111449999997</v>
      </c>
      <c r="L32" s="190">
        <f>Черн.!CP31</f>
        <v>35286.662519999998</v>
      </c>
      <c r="M32" s="190">
        <f t="shared" si="0"/>
        <v>100.88212615607068</v>
      </c>
      <c r="N32" s="190">
        <f>Черн.!CV31</f>
        <v>15842.737999999999</v>
      </c>
      <c r="O32" s="190">
        <f>Черн.!CX31</f>
        <v>15558.631799999999</v>
      </c>
      <c r="P32" s="190">
        <f t="shared" si="4"/>
        <v>98.206710229002084</v>
      </c>
      <c r="Q32" s="190">
        <f>Черн.!CG31</f>
        <v>3675.3496500000001</v>
      </c>
      <c r="R32" s="190">
        <f>Черн.!CI31</f>
        <v>3157.0754999999999</v>
      </c>
      <c r="S32" s="191">
        <f t="shared" si="5"/>
        <v>85.898643684145796</v>
      </c>
    </row>
    <row r="33" spans="1:19" x14ac:dyDescent="0.25">
      <c r="A33" s="103" t="s">
        <v>176</v>
      </c>
      <c r="B33" s="190">
        <f>Черн.!BQ32</f>
        <v>537048.05593000003</v>
      </c>
      <c r="C33" s="190">
        <f>Черн.!BW32</f>
        <v>539243.92784000002</v>
      </c>
      <c r="D33" s="190">
        <f t="shared" si="1"/>
        <v>100.40887810425036</v>
      </c>
      <c r="E33" s="190">
        <f>Черн.!DZ32</f>
        <v>431500</v>
      </c>
      <c r="F33" s="190">
        <f>Черн.!EF32</f>
        <v>436022.77208000002</v>
      </c>
      <c r="G33" s="190">
        <f t="shared" si="2"/>
        <v>101.0481511193511</v>
      </c>
      <c r="H33" s="190">
        <f>Черн.!CA32</f>
        <v>9656</v>
      </c>
      <c r="I33" s="190">
        <f>Черн.!CC32</f>
        <v>10745.68073</v>
      </c>
      <c r="J33" s="196">
        <f t="shared" si="3"/>
        <v>111.28501170256835</v>
      </c>
      <c r="K33" s="190">
        <f>Черн.!CL32</f>
        <v>10275</v>
      </c>
      <c r="L33" s="190">
        <f>Черн.!CP32</f>
        <v>10627.02908</v>
      </c>
      <c r="M33" s="190">
        <f t="shared" si="0"/>
        <v>103.42607377128954</v>
      </c>
      <c r="N33" s="190">
        <f>Черн.!CV32</f>
        <v>39302</v>
      </c>
      <c r="O33" s="190">
        <f>Черн.!CX32</f>
        <v>41660.86176</v>
      </c>
      <c r="P33" s="190">
        <f t="shared" si="4"/>
        <v>106.00188733397792</v>
      </c>
      <c r="Q33" s="190">
        <f>Черн.!CG32</f>
        <v>0</v>
      </c>
      <c r="R33" s="190">
        <f>Черн.!CI32</f>
        <v>0</v>
      </c>
      <c r="S33" s="191"/>
    </row>
    <row r="34" spans="1:19" x14ac:dyDescent="0.25">
      <c r="A34" s="103" t="s">
        <v>177</v>
      </c>
      <c r="B34" s="190">
        <f>Черн.!BQ33</f>
        <v>102268.45872</v>
      </c>
      <c r="C34" s="190">
        <f>Черн.!BW33</f>
        <v>107252.64429</v>
      </c>
      <c r="D34" s="190">
        <f t="shared" si="1"/>
        <v>104.87362930113787</v>
      </c>
      <c r="E34" s="190">
        <f>Черн.!DZ33</f>
        <v>102010</v>
      </c>
      <c r="F34" s="190">
        <f>Черн.!EF33</f>
        <v>106993.60343</v>
      </c>
      <c r="G34" s="190">
        <f t="shared" si="2"/>
        <v>104.88540675423978</v>
      </c>
      <c r="H34" s="190">
        <f>Черн.!CA33</f>
        <v>63.866999999999997</v>
      </c>
      <c r="I34" s="190">
        <f>Черн.!CC33</f>
        <v>63.866999999999997</v>
      </c>
      <c r="J34" s="190">
        <f t="shared" si="3"/>
        <v>100</v>
      </c>
      <c r="K34" s="190">
        <f>Черн.!CL33</f>
        <v>86.7</v>
      </c>
      <c r="L34" s="190">
        <f>Черн.!CP33</f>
        <v>86.7</v>
      </c>
      <c r="M34" s="190">
        <f t="shared" si="0"/>
        <v>100</v>
      </c>
      <c r="N34" s="190">
        <f>Черн.!CV33</f>
        <v>71.23321</v>
      </c>
      <c r="O34" s="190">
        <f>Черн.!CX33</f>
        <v>71.23321</v>
      </c>
      <c r="P34" s="190">
        <f t="shared" si="4"/>
        <v>100</v>
      </c>
      <c r="Q34" s="190">
        <f>Черн.!CG33</f>
        <v>0</v>
      </c>
      <c r="R34" s="190">
        <f>Черн.!CI33</f>
        <v>0</v>
      </c>
      <c r="S34" s="191"/>
    </row>
    <row r="35" spans="1:19" s="180" customFormat="1" ht="13.8" thickBot="1" x14ac:dyDescent="0.3">
      <c r="A35" s="197" t="s">
        <v>178</v>
      </c>
      <c r="B35" s="194">
        <f>Черн.!BQ34</f>
        <v>14778784.665200001</v>
      </c>
      <c r="C35" s="194">
        <f>Черн.!BW34</f>
        <v>15251789.56091</v>
      </c>
      <c r="D35" s="194">
        <f t="shared" ref="D35" si="6">C35/B35%</f>
        <v>103.20056693717039</v>
      </c>
      <c r="E35" s="194">
        <f>Черн.!DZ34</f>
        <v>10457189.41502</v>
      </c>
      <c r="F35" s="194">
        <f>Черн.!EF34</f>
        <v>10818638.49137</v>
      </c>
      <c r="G35" s="194">
        <f t="shared" si="2"/>
        <v>103.45646484925327</v>
      </c>
      <c r="H35" s="194">
        <f>Черн.!CA34</f>
        <v>918845.40670000005</v>
      </c>
      <c r="I35" s="194">
        <f>Черн.!CC34</f>
        <v>881147.46005999995</v>
      </c>
      <c r="J35" s="194">
        <f t="shared" ref="J35" si="7">I35/H35%</f>
        <v>95.897248180693325</v>
      </c>
      <c r="K35" s="194">
        <f>Черн.!CL34</f>
        <v>933255.49387999985</v>
      </c>
      <c r="L35" s="194">
        <f>Черн.!CP34</f>
        <v>908683.03370999999</v>
      </c>
      <c r="M35" s="194">
        <f t="shared" ref="M35" si="8">L35/K35%</f>
        <v>97.367016821102212</v>
      </c>
      <c r="N35" s="194">
        <f>Черн.!CV34</f>
        <v>1165697.4073199998</v>
      </c>
      <c r="O35" s="194">
        <f>Черн.!CX34</f>
        <v>1235905.13384</v>
      </c>
      <c r="P35" s="194">
        <f t="shared" si="4"/>
        <v>106.02280884208292</v>
      </c>
      <c r="Q35" s="194">
        <f>Черн.!CG34</f>
        <v>309894.90559000004</v>
      </c>
      <c r="R35" s="194">
        <f>Черн.!CI34</f>
        <v>343175.54449</v>
      </c>
      <c r="S35" s="195">
        <f t="shared" si="5"/>
        <v>110.73933075364305</v>
      </c>
    </row>
    <row r="36" spans="1:19" ht="13.8" thickTop="1" x14ac:dyDescent="0.25"/>
    <row r="38" spans="1:19" x14ac:dyDescent="0.25">
      <c r="K38" s="228"/>
      <c r="L38" s="228"/>
    </row>
  </sheetData>
  <autoFilter ref="A8:S35"/>
  <mergeCells count="10">
    <mergeCell ref="Q1:S1"/>
    <mergeCell ref="A3:S3"/>
    <mergeCell ref="A5:A7"/>
    <mergeCell ref="B5:D6"/>
    <mergeCell ref="E5:S5"/>
    <mergeCell ref="E6:G6"/>
    <mergeCell ref="H6:J6"/>
    <mergeCell ref="K6:M6"/>
    <mergeCell ref="N6:P6"/>
    <mergeCell ref="Q6:S6"/>
  </mergeCells>
  <pageMargins left="0" right="0" top="0.74803149606299213" bottom="0.74803149606299213" header="0.31496062992125984" footer="0.31496062992125984"/>
  <pageSetup paperSize="9" scale="75" orientation="landscape" r:id="rId1"/>
  <headerFooter>
    <oddFooter>&amp;C&amp;9&amp;P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R37"/>
  <sheetViews>
    <sheetView zoomScale="85" zoomScaleNormal="85" workbookViewId="0">
      <pane xSplit="1" ySplit="9" topLeftCell="B36" activePane="bottomRight" state="frozen"/>
      <selection pane="topRight" activeCell="B1" sqref="B1"/>
      <selection pane="bottomLeft" activeCell="A10" sqref="A10"/>
      <selection pane="bottomRight" activeCell="N1" sqref="N1:P1"/>
    </sheetView>
  </sheetViews>
  <sheetFormatPr defaultColWidth="9.109375" defaultRowHeight="13.2" x14ac:dyDescent="0.25"/>
  <cols>
    <col min="1" max="1" width="22" style="175" customWidth="1"/>
    <col min="2" max="2" width="12.33203125" style="181" bestFit="1" customWidth="1"/>
    <col min="3" max="3" width="11.33203125" style="181" bestFit="1" customWidth="1"/>
    <col min="4" max="4" width="12.33203125" style="181" bestFit="1" customWidth="1"/>
    <col min="5" max="6" width="11.33203125" style="181" bestFit="1" customWidth="1"/>
    <col min="7" max="9" width="12.33203125" style="181" bestFit="1" customWidth="1"/>
    <col min="10" max="11" width="11.33203125" style="181" bestFit="1" customWidth="1"/>
    <col min="12" max="12" width="6.33203125" style="181" bestFit="1" customWidth="1"/>
    <col min="13" max="13" width="10.109375" style="181" customWidth="1"/>
    <col min="14" max="14" width="5.6640625" style="181" customWidth="1"/>
    <col min="15" max="15" width="8.44140625" style="181" customWidth="1"/>
    <col min="16" max="16" width="10.44140625" style="181" customWidth="1"/>
    <col min="17" max="16384" width="9.109375" style="181"/>
  </cols>
  <sheetData>
    <row r="1" spans="1:16" x14ac:dyDescent="0.25">
      <c r="A1" s="156"/>
      <c r="B1" s="156"/>
      <c r="C1" s="156"/>
      <c r="D1" s="156"/>
      <c r="E1" s="156"/>
      <c r="F1" s="156"/>
      <c r="G1" s="156"/>
      <c r="H1" s="156"/>
      <c r="I1" s="156"/>
      <c r="J1" s="156"/>
      <c r="K1" s="156"/>
      <c r="L1" s="156"/>
      <c r="M1" s="156"/>
      <c r="N1" s="1011" t="s">
        <v>601</v>
      </c>
      <c r="O1" s="1011"/>
      <c r="P1" s="1011"/>
    </row>
    <row r="2" spans="1:16" x14ac:dyDescent="0.25">
      <c r="A2" s="156"/>
      <c r="B2" s="156"/>
      <c r="C2" s="156"/>
      <c r="D2" s="156"/>
      <c r="E2" s="156"/>
      <c r="F2" s="156"/>
      <c r="G2" s="156"/>
      <c r="H2" s="156"/>
      <c r="I2" s="156"/>
      <c r="J2" s="156"/>
      <c r="K2" s="156"/>
      <c r="L2" s="156"/>
      <c r="M2" s="156"/>
      <c r="N2" s="156"/>
      <c r="O2" s="156"/>
      <c r="P2" s="156"/>
    </row>
    <row r="3" spans="1:16" ht="35.25" customHeight="1" x14ac:dyDescent="0.25">
      <c r="A3" s="1012" t="s">
        <v>705</v>
      </c>
      <c r="B3" s="1012"/>
      <c r="C3" s="1012"/>
      <c r="D3" s="1012"/>
      <c r="E3" s="1012"/>
      <c r="F3" s="1012"/>
      <c r="G3" s="1012"/>
      <c r="H3" s="1012"/>
      <c r="I3" s="1012"/>
      <c r="J3" s="1012"/>
      <c r="K3" s="1012"/>
      <c r="L3" s="1012"/>
      <c r="M3" s="1012"/>
      <c r="N3" s="1012"/>
      <c r="O3" s="1012"/>
      <c r="P3" s="1012"/>
    </row>
    <row r="4" spans="1:16" ht="13.8" thickBot="1" x14ac:dyDescent="0.3">
      <c r="A4" s="156"/>
      <c r="B4" s="156"/>
      <c r="C4" s="156"/>
      <c r="D4" s="156"/>
      <c r="E4" s="156"/>
      <c r="F4" s="156"/>
      <c r="G4" s="156"/>
      <c r="H4" s="156"/>
      <c r="I4" s="156"/>
      <c r="J4" s="156"/>
      <c r="K4" s="156"/>
      <c r="L4" s="156"/>
      <c r="M4" s="156"/>
      <c r="N4" s="156"/>
      <c r="O4" s="1007" t="s">
        <v>180</v>
      </c>
      <c r="P4" s="1008"/>
    </row>
    <row r="5" spans="1:16" ht="41.25" customHeight="1" thickTop="1" x14ac:dyDescent="0.25">
      <c r="A5" s="977" t="s">
        <v>181</v>
      </c>
      <c r="B5" s="1013" t="s">
        <v>670</v>
      </c>
      <c r="C5" s="1013"/>
      <c r="D5" s="1013"/>
      <c r="E5" s="1013"/>
      <c r="F5" s="1013"/>
      <c r="G5" s="1013" t="s">
        <v>630</v>
      </c>
      <c r="H5" s="1013"/>
      <c r="I5" s="1013"/>
      <c r="J5" s="1013"/>
      <c r="K5" s="1013"/>
      <c r="L5" s="1013" t="s">
        <v>351</v>
      </c>
      <c r="M5" s="1013"/>
      <c r="N5" s="1013"/>
      <c r="O5" s="1013"/>
      <c r="P5" s="1014"/>
    </row>
    <row r="6" spans="1:16" x14ac:dyDescent="0.25">
      <c r="A6" s="978"/>
      <c r="B6" s="1009" t="s">
        <v>186</v>
      </c>
      <c r="C6" s="1009" t="s">
        <v>135</v>
      </c>
      <c r="D6" s="1009"/>
      <c r="E6" s="1009"/>
      <c r="F6" s="1009"/>
      <c r="G6" s="1009" t="s">
        <v>186</v>
      </c>
      <c r="H6" s="1009" t="s">
        <v>135</v>
      </c>
      <c r="I6" s="1009"/>
      <c r="J6" s="1009"/>
      <c r="K6" s="1009"/>
      <c r="L6" s="1009" t="s">
        <v>186</v>
      </c>
      <c r="M6" s="1009" t="s">
        <v>135</v>
      </c>
      <c r="N6" s="1009"/>
      <c r="O6" s="1009"/>
      <c r="P6" s="1010"/>
    </row>
    <row r="7" spans="1:16" ht="24.75" customHeight="1" x14ac:dyDescent="0.25">
      <c r="A7" s="978"/>
      <c r="B7" s="1009"/>
      <c r="C7" s="1009" t="s">
        <v>208</v>
      </c>
      <c r="D7" s="1009" t="s">
        <v>209</v>
      </c>
      <c r="E7" s="1009" t="s">
        <v>210</v>
      </c>
      <c r="F7" s="1009" t="s">
        <v>347</v>
      </c>
      <c r="G7" s="1009"/>
      <c r="H7" s="1009" t="s">
        <v>208</v>
      </c>
      <c r="I7" s="1009" t="s">
        <v>209</v>
      </c>
      <c r="J7" s="1009" t="s">
        <v>210</v>
      </c>
      <c r="K7" s="1009" t="s">
        <v>347</v>
      </c>
      <c r="L7" s="1009"/>
      <c r="M7" s="1009" t="s">
        <v>208</v>
      </c>
      <c r="N7" s="1009" t="s">
        <v>350</v>
      </c>
      <c r="O7" s="1009" t="s">
        <v>348</v>
      </c>
      <c r="P7" s="1010" t="s">
        <v>468</v>
      </c>
    </row>
    <row r="8" spans="1:16" x14ac:dyDescent="0.25">
      <c r="A8" s="978"/>
      <c r="B8" s="1009"/>
      <c r="C8" s="1009"/>
      <c r="D8" s="1009"/>
      <c r="E8" s="1009"/>
      <c r="F8" s="1009"/>
      <c r="G8" s="1009"/>
      <c r="H8" s="1009"/>
      <c r="I8" s="1009"/>
      <c r="J8" s="1009"/>
      <c r="K8" s="1009"/>
      <c r="L8" s="1009"/>
      <c r="M8" s="1009"/>
      <c r="N8" s="1009"/>
      <c r="O8" s="1009"/>
      <c r="P8" s="1010"/>
    </row>
    <row r="9" spans="1:16" x14ac:dyDescent="0.25">
      <c r="A9" s="187" t="s">
        <v>14</v>
      </c>
      <c r="B9" s="200">
        <v>1</v>
      </c>
      <c r="C9" s="200">
        <v>2</v>
      </c>
      <c r="D9" s="200">
        <v>3</v>
      </c>
      <c r="E9" s="200">
        <v>4</v>
      </c>
      <c r="F9" s="200">
        <v>5</v>
      </c>
      <c r="G9" s="200">
        <v>6</v>
      </c>
      <c r="H9" s="200">
        <v>7</v>
      </c>
      <c r="I9" s="200">
        <v>8</v>
      </c>
      <c r="J9" s="200">
        <v>9</v>
      </c>
      <c r="K9" s="200">
        <v>10</v>
      </c>
      <c r="L9" s="200">
        <v>11</v>
      </c>
      <c r="M9" s="200">
        <v>12</v>
      </c>
      <c r="N9" s="200">
        <v>13</v>
      </c>
      <c r="O9" s="200">
        <v>14</v>
      </c>
      <c r="P9" s="201">
        <v>15</v>
      </c>
    </row>
    <row r="10" spans="1:16" x14ac:dyDescent="0.25">
      <c r="A10" s="103" t="s">
        <v>152</v>
      </c>
      <c r="B10" s="28">
        <f>Черн_кон.рас.!D8</f>
        <v>1385133.0048799999</v>
      </c>
      <c r="C10" s="28">
        <f>Черн_кон.рас.!G8</f>
        <v>411744.26422999997</v>
      </c>
      <c r="D10" s="28">
        <f>Черн_кон.рас.!J8</f>
        <v>811159.29865000001</v>
      </c>
      <c r="E10" s="28">
        <f>Черн_кон.рас.!M8</f>
        <v>156326.29999999999</v>
      </c>
      <c r="F10" s="28">
        <f>Черн_кон.рас.!P8</f>
        <v>5903.1419999999998</v>
      </c>
      <c r="G10" s="28">
        <f>Черн_кон.рас.!S8</f>
        <v>1685020.37971</v>
      </c>
      <c r="H10" s="28">
        <f>Черн_кон.рас.!V8</f>
        <v>695299.33771999995</v>
      </c>
      <c r="I10" s="28">
        <f>Черн_кон.рас.!Y8</f>
        <v>845877.06498999998</v>
      </c>
      <c r="J10" s="28">
        <f>Черн_кон.рас.!AB8</f>
        <v>128768.1</v>
      </c>
      <c r="K10" s="28">
        <f>Черн_кон.рас.!AE8</f>
        <v>15075.877</v>
      </c>
      <c r="L10" s="28">
        <f>G10/B10%-100</f>
        <v>21.650438894565269</v>
      </c>
      <c r="M10" s="28">
        <f t="shared" ref="M10:O10" si="0">H10/C10%-100</f>
        <v>68.866793814426131</v>
      </c>
      <c r="N10" s="28">
        <f t="shared" si="0"/>
        <v>4.2800182895986296</v>
      </c>
      <c r="O10" s="28">
        <f t="shared" si="0"/>
        <v>-17.628639582718961</v>
      </c>
      <c r="P10" s="494" t="s">
        <v>589</v>
      </c>
    </row>
    <row r="11" spans="1:16" x14ac:dyDescent="0.25">
      <c r="A11" s="103" t="s">
        <v>153</v>
      </c>
      <c r="B11" s="28">
        <f>Черн_кон.рас.!D9</f>
        <v>571926.65148999996</v>
      </c>
      <c r="C11" s="28">
        <f>Черн_кон.рас.!G9</f>
        <v>183208.43072</v>
      </c>
      <c r="D11" s="28">
        <f>Черн_кон.рас.!J9</f>
        <v>301390.69436999998</v>
      </c>
      <c r="E11" s="28">
        <f>Черн_кон.рас.!M9</f>
        <v>81838.548999999999</v>
      </c>
      <c r="F11" s="28">
        <f>Черн_кон.рас.!P9</f>
        <v>5488.9773999999998</v>
      </c>
      <c r="G11" s="28">
        <f>Черн_кон.рас.!S9</f>
        <v>616643.00066999998</v>
      </c>
      <c r="H11" s="28">
        <f>Черн_кон.рас.!V9</f>
        <v>225784.76147</v>
      </c>
      <c r="I11" s="28">
        <f>Черн_кон.рас.!Y9</f>
        <v>315593.60947999998</v>
      </c>
      <c r="J11" s="28">
        <f>Черн_кон.рас.!AB9</f>
        <v>65633.600000000006</v>
      </c>
      <c r="K11" s="28">
        <f>Черн_кон.рас.!AE9</f>
        <v>9631.0297200000005</v>
      </c>
      <c r="L11" s="28">
        <f t="shared" ref="L11:L35" si="1">G11/B11%-100</f>
        <v>7.8185461480949812</v>
      </c>
      <c r="M11" s="28">
        <f t="shared" ref="M11:M35" si="2">H11/C11%-100</f>
        <v>23.239285759218149</v>
      </c>
      <c r="N11" s="28">
        <f t="shared" ref="N11:N35" si="3">I11/D11%-100</f>
        <v>4.7124597326033921</v>
      </c>
      <c r="O11" s="28">
        <f t="shared" ref="O11:O35" si="4">J11/E11%-100</f>
        <v>-19.801119641063039</v>
      </c>
      <c r="P11" s="430">
        <f t="shared" ref="P11:P35" si="5">K11/F11%-100</f>
        <v>75.461274808673863</v>
      </c>
    </row>
    <row r="12" spans="1:16" x14ac:dyDescent="0.25">
      <c r="A12" s="103" t="s">
        <v>154</v>
      </c>
      <c r="B12" s="28">
        <f>Черн_кон.рас.!D10</f>
        <v>526550.67124000005</v>
      </c>
      <c r="C12" s="28">
        <f>Черн_кон.рас.!G10</f>
        <v>252846.66383999999</v>
      </c>
      <c r="D12" s="28">
        <f>Черн_кон.рас.!J10</f>
        <v>221145.6594</v>
      </c>
      <c r="E12" s="28">
        <f>Черн_кон.рас.!M10</f>
        <v>49703.9</v>
      </c>
      <c r="F12" s="28">
        <f>Черн_кон.рас.!P10</f>
        <v>2854.4479999999999</v>
      </c>
      <c r="G12" s="28">
        <f>Черн_кон.рас.!S10</f>
        <v>709180.76410999999</v>
      </c>
      <c r="H12" s="28">
        <f>Черн_кон.рас.!V10</f>
        <v>424876.84155999997</v>
      </c>
      <c r="I12" s="28">
        <f>Черн_кон.рас.!Y10</f>
        <v>242009.89355000001</v>
      </c>
      <c r="J12" s="28">
        <f>Черн_кон.рас.!AB10</f>
        <v>35306.9</v>
      </c>
      <c r="K12" s="28">
        <f>Черн_кон.рас.!AE10</f>
        <v>6987.1289999999999</v>
      </c>
      <c r="L12" s="28">
        <f t="shared" si="1"/>
        <v>34.684238924226491</v>
      </c>
      <c r="M12" s="28">
        <f t="shared" si="2"/>
        <v>68.037353195555625</v>
      </c>
      <c r="N12" s="28">
        <f t="shared" si="3"/>
        <v>9.4346116521606831</v>
      </c>
      <c r="O12" s="28">
        <f t="shared" si="4"/>
        <v>-28.965533891706684</v>
      </c>
      <c r="P12" s="494" t="s">
        <v>586</v>
      </c>
    </row>
    <row r="13" spans="1:16" x14ac:dyDescent="0.25">
      <c r="A13" s="103" t="s">
        <v>155</v>
      </c>
      <c r="B13" s="28">
        <f>Черн_кон.рас.!D11</f>
        <v>664059.83074</v>
      </c>
      <c r="C13" s="28">
        <f>Черн_кон.рас.!G11</f>
        <v>271442.16048000002</v>
      </c>
      <c r="D13" s="28">
        <f>Черн_кон.рас.!J11</f>
        <v>292091.22326</v>
      </c>
      <c r="E13" s="28">
        <f>Черн_кон.рас.!M11</f>
        <v>95140.9</v>
      </c>
      <c r="F13" s="28">
        <f>Черн_кон.рас.!P11</f>
        <v>5385.5469999999996</v>
      </c>
      <c r="G13" s="28">
        <f>Черн_кон.рас.!S11</f>
        <v>683286.35843999998</v>
      </c>
      <c r="H13" s="28">
        <f>Черн_кон.рас.!V11</f>
        <v>309543.32812000002</v>
      </c>
      <c r="I13" s="28">
        <f>Черн_кон.рас.!Y11</f>
        <v>307068.44532</v>
      </c>
      <c r="J13" s="28">
        <f>Черн_кон.рас.!AB11</f>
        <v>54290.1</v>
      </c>
      <c r="K13" s="28">
        <f>Черн_кон.рас.!AE11</f>
        <v>12384.485000000001</v>
      </c>
      <c r="L13" s="28">
        <f t="shared" si="1"/>
        <v>2.8953005151018942</v>
      </c>
      <c r="M13" s="28">
        <f t="shared" si="2"/>
        <v>14.036569548600866</v>
      </c>
      <c r="N13" s="28">
        <f t="shared" si="3"/>
        <v>5.1275837366288357</v>
      </c>
      <c r="O13" s="28">
        <f t="shared" si="4"/>
        <v>-42.937159518146245</v>
      </c>
      <c r="P13" s="494" t="s">
        <v>590</v>
      </c>
    </row>
    <row r="14" spans="1:16" x14ac:dyDescent="0.25">
      <c r="A14" s="103" t="s">
        <v>156</v>
      </c>
      <c r="B14" s="28">
        <f>Черн_кон.рас.!D12</f>
        <v>635691.57385000004</v>
      </c>
      <c r="C14" s="28">
        <f>Черн_кон.рас.!G12</f>
        <v>245670.49651999999</v>
      </c>
      <c r="D14" s="28">
        <f>Черн_кон.рас.!J12</f>
        <v>293104.22651000001</v>
      </c>
      <c r="E14" s="28">
        <f>Черн_кон.рас.!M12</f>
        <v>83660.600000000006</v>
      </c>
      <c r="F14" s="28">
        <f>Черн_кон.рас.!P12</f>
        <v>13256.250819999999</v>
      </c>
      <c r="G14" s="28">
        <f>Черн_кон.рас.!S12</f>
        <v>692149.22884999996</v>
      </c>
      <c r="H14" s="28">
        <f>Черн_кон.рас.!V12</f>
        <v>297542.20805999998</v>
      </c>
      <c r="I14" s="28">
        <f>Черн_кон.рас.!Y12</f>
        <v>309521.60632000002</v>
      </c>
      <c r="J14" s="28">
        <f>Черн_кон.рас.!AB12</f>
        <v>77169.885999999999</v>
      </c>
      <c r="K14" s="28">
        <f>Черн_кон.рас.!AE12</f>
        <v>7915.5284700000002</v>
      </c>
      <c r="L14" s="28">
        <f t="shared" si="1"/>
        <v>8.881296736099543</v>
      </c>
      <c r="M14" s="28">
        <f t="shared" si="2"/>
        <v>21.114343103782957</v>
      </c>
      <c r="N14" s="28">
        <f t="shared" si="3"/>
        <v>5.6012088278228589</v>
      </c>
      <c r="O14" s="28">
        <f t="shared" si="4"/>
        <v>-7.7583880584169975</v>
      </c>
      <c r="P14" s="430">
        <f t="shared" si="5"/>
        <v>-40.28833206703009</v>
      </c>
    </row>
    <row r="15" spans="1:16" x14ac:dyDescent="0.25">
      <c r="A15" s="103" t="s">
        <v>157</v>
      </c>
      <c r="B15" s="28">
        <f>Черн_кон.рас.!D13</f>
        <v>726104.05996999994</v>
      </c>
      <c r="C15" s="28">
        <f>Черн_кон.рас.!G13</f>
        <v>221629.23897000001</v>
      </c>
      <c r="D15" s="28">
        <f>Черн_кон.рас.!J13</f>
        <v>399662.62400000001</v>
      </c>
      <c r="E15" s="28">
        <f>Черн_кон.рас.!M13</f>
        <v>100410.9</v>
      </c>
      <c r="F15" s="28">
        <f>Черн_кон.рас.!P13</f>
        <v>4401.2969999999996</v>
      </c>
      <c r="G15" s="28">
        <f>Черн_кон.рас.!S13</f>
        <v>752848.33394000004</v>
      </c>
      <c r="H15" s="28">
        <f>Черн_кон.рас.!V13</f>
        <v>242734.60180999999</v>
      </c>
      <c r="I15" s="28">
        <f>Черн_кон.рас.!Y13</f>
        <v>423259.52713</v>
      </c>
      <c r="J15" s="28">
        <f>Черн_кон.рас.!AB13</f>
        <v>77755.199999999997</v>
      </c>
      <c r="K15" s="28">
        <f>Черн_кон.рас.!AE13</f>
        <v>9099.0049999999992</v>
      </c>
      <c r="L15" s="28">
        <f t="shared" si="1"/>
        <v>3.6832563601290218</v>
      </c>
      <c r="M15" s="28">
        <f t="shared" si="2"/>
        <v>9.5228242167347048</v>
      </c>
      <c r="N15" s="28">
        <f t="shared" si="3"/>
        <v>5.9042056256929385</v>
      </c>
      <c r="O15" s="28">
        <f t="shared" si="4"/>
        <v>-22.562988679515868</v>
      </c>
      <c r="P15" s="494" t="s">
        <v>591</v>
      </c>
    </row>
    <row r="16" spans="1:16" x14ac:dyDescent="0.25">
      <c r="A16" s="103" t="s">
        <v>158</v>
      </c>
      <c r="B16" s="28">
        <f>Черн_кон.рас.!D14</f>
        <v>581371.32947999996</v>
      </c>
      <c r="C16" s="28">
        <f>Черн_кон.рас.!G14</f>
        <v>201191.25701</v>
      </c>
      <c r="D16" s="28">
        <f>Черн_кон.рас.!J14</f>
        <v>277856.01282</v>
      </c>
      <c r="E16" s="28">
        <f>Черн_кон.рас.!M14</f>
        <v>85657.9</v>
      </c>
      <c r="F16" s="28">
        <f>Черн_кон.рас.!P14</f>
        <v>16666.159650000001</v>
      </c>
      <c r="G16" s="28">
        <f>Черн_кон.рас.!S14</f>
        <v>762756.16538000002</v>
      </c>
      <c r="H16" s="28">
        <f>Черн_кон.рас.!V14</f>
        <v>321033.53807000001</v>
      </c>
      <c r="I16" s="28">
        <f>Черн_кон.рас.!Y14</f>
        <v>288318.68633</v>
      </c>
      <c r="J16" s="28">
        <f>Черн_кон.рас.!AB14</f>
        <v>49927.5</v>
      </c>
      <c r="K16" s="28">
        <f>Черн_кон.рас.!AE14</f>
        <v>103476.44098</v>
      </c>
      <c r="L16" s="28">
        <f t="shared" si="1"/>
        <v>31.199480728132443</v>
      </c>
      <c r="M16" s="28">
        <f t="shared" si="2"/>
        <v>59.566346391505164</v>
      </c>
      <c r="N16" s="28">
        <f t="shared" si="3"/>
        <v>3.7655019244726162</v>
      </c>
      <c r="O16" s="28">
        <f t="shared" si="4"/>
        <v>-41.712906807194663</v>
      </c>
      <c r="P16" s="494" t="s">
        <v>661</v>
      </c>
    </row>
    <row r="17" spans="1:16" x14ac:dyDescent="0.25">
      <c r="A17" s="103" t="s">
        <v>159</v>
      </c>
      <c r="B17" s="28">
        <f>Черн_кон.рас.!D15</f>
        <v>611723.55940999999</v>
      </c>
      <c r="C17" s="28">
        <f>Черн_кон.рас.!G15</f>
        <v>278845.21198000002</v>
      </c>
      <c r="D17" s="28">
        <f>Черн_кон.рас.!J15</f>
        <v>271125.99293000001</v>
      </c>
      <c r="E17" s="28">
        <f>Черн_кон.рас.!M15</f>
        <v>59405.1</v>
      </c>
      <c r="F17" s="28">
        <f>Черн_кон.рас.!P15</f>
        <v>2347.2545</v>
      </c>
      <c r="G17" s="28">
        <f>Черн_кон.рас.!S15</f>
        <v>713142.41910000006</v>
      </c>
      <c r="H17" s="28">
        <f>Черн_кон.рас.!V15</f>
        <v>380229.05080000003</v>
      </c>
      <c r="I17" s="28">
        <f>Черн_кон.рас.!Y15</f>
        <v>282580.96230000001</v>
      </c>
      <c r="J17" s="28">
        <f>Черн_кон.рас.!AB15</f>
        <v>39042.1</v>
      </c>
      <c r="K17" s="28">
        <f>Черн_кон.рас.!AE15</f>
        <v>11290.306</v>
      </c>
      <c r="L17" s="28">
        <f t="shared" si="1"/>
        <v>16.579197928524664</v>
      </c>
      <c r="M17" s="28">
        <f t="shared" si="2"/>
        <v>36.358465006482419</v>
      </c>
      <c r="N17" s="28">
        <f t="shared" si="3"/>
        <v>4.2249617036745946</v>
      </c>
      <c r="O17" s="28">
        <f t="shared" si="4"/>
        <v>-34.278201703220759</v>
      </c>
      <c r="P17" s="494" t="s">
        <v>662</v>
      </c>
    </row>
    <row r="18" spans="1:16" x14ac:dyDescent="0.25">
      <c r="A18" s="103" t="s">
        <v>160</v>
      </c>
      <c r="B18" s="28">
        <f>Черн_кон.рас.!D16</f>
        <v>610541.50552000001</v>
      </c>
      <c r="C18" s="28">
        <f>Черн_кон.рас.!G16</f>
        <v>284560.76052000001</v>
      </c>
      <c r="D18" s="28">
        <f>Черн_кон.рас.!J16</f>
        <v>304119.81699999998</v>
      </c>
      <c r="E18" s="28">
        <f>Черн_кон.рас.!M16</f>
        <v>19445.900000000001</v>
      </c>
      <c r="F18" s="28">
        <f>Черн_кон.рас.!P16</f>
        <v>2415.0279999999998</v>
      </c>
      <c r="G18" s="28">
        <f>Черн_кон.рас.!S16</f>
        <v>607366.71282999997</v>
      </c>
      <c r="H18" s="28">
        <f>Черн_кон.рас.!V16</f>
        <v>244169.52215</v>
      </c>
      <c r="I18" s="28">
        <f>Черн_кон.рас.!Y16</f>
        <v>333348.96299000003</v>
      </c>
      <c r="J18" s="28">
        <f>Черн_кон.рас.!AB16</f>
        <v>9924.7999999999993</v>
      </c>
      <c r="K18" s="28">
        <f>Черн_кон.рас.!AE16</f>
        <v>19923.42769</v>
      </c>
      <c r="L18" s="28">
        <f t="shared" si="1"/>
        <v>-0.51999621013415265</v>
      </c>
      <c r="M18" s="28">
        <f t="shared" si="2"/>
        <v>-14.194240378114671</v>
      </c>
      <c r="N18" s="28">
        <f t="shared" si="3"/>
        <v>9.6110625997121559</v>
      </c>
      <c r="O18" s="28">
        <f t="shared" si="4"/>
        <v>-48.961991988028331</v>
      </c>
      <c r="P18" s="494" t="s">
        <v>663</v>
      </c>
    </row>
    <row r="19" spans="1:16" x14ac:dyDescent="0.25">
      <c r="A19" s="103" t="s">
        <v>161</v>
      </c>
      <c r="B19" s="28">
        <f>Черн_кон.рас.!D17</f>
        <v>440696.60037</v>
      </c>
      <c r="C19" s="28">
        <f>Черн_кон.рас.!G17</f>
        <v>181057.11855000001</v>
      </c>
      <c r="D19" s="28">
        <f>Черн_кон.рас.!J17</f>
        <v>193155.74236</v>
      </c>
      <c r="E19" s="28">
        <f>Черн_кон.рас.!M17</f>
        <v>61609.2</v>
      </c>
      <c r="F19" s="28">
        <f>Черн_кон.рас.!P17</f>
        <v>4874.53946</v>
      </c>
      <c r="G19" s="28">
        <f>Черн_кон.рас.!S17</f>
        <v>462602.52567</v>
      </c>
      <c r="H19" s="28">
        <f>Черн_кон.рас.!V17</f>
        <v>201522.42360000001</v>
      </c>
      <c r="I19" s="28">
        <f>Черн_кон.рас.!Y17</f>
        <v>207901.26267</v>
      </c>
      <c r="J19" s="28">
        <f>Черн_кон.рас.!AB17</f>
        <v>48545.5</v>
      </c>
      <c r="K19" s="28">
        <f>Черн_кон.рас.!AE17</f>
        <v>4633.3393999999998</v>
      </c>
      <c r="L19" s="28">
        <f t="shared" si="1"/>
        <v>4.9707497815068677</v>
      </c>
      <c r="M19" s="28">
        <f t="shared" si="2"/>
        <v>11.303231385706809</v>
      </c>
      <c r="N19" s="28">
        <f t="shared" si="3"/>
        <v>7.6340056629109085</v>
      </c>
      <c r="O19" s="28">
        <f t="shared" si="4"/>
        <v>-21.204138342974744</v>
      </c>
      <c r="P19" s="430">
        <f t="shared" si="5"/>
        <v>-4.9481609899614938</v>
      </c>
    </row>
    <row r="20" spans="1:16" x14ac:dyDescent="0.25">
      <c r="A20" s="103" t="s">
        <v>162</v>
      </c>
      <c r="B20" s="28">
        <f>Черн_кон.рас.!D18</f>
        <v>539646.59415999998</v>
      </c>
      <c r="C20" s="28">
        <f>Черн_кон.рас.!G18</f>
        <v>249969.40997000001</v>
      </c>
      <c r="D20" s="28">
        <f>Черн_кон.рас.!J18</f>
        <v>217253.54592</v>
      </c>
      <c r="E20" s="28">
        <f>Черн_кон.рас.!M18</f>
        <v>19671.400000000001</v>
      </c>
      <c r="F20" s="28">
        <f>Черн_кон.рас.!P18</f>
        <v>52752.238270000002</v>
      </c>
      <c r="G20" s="28">
        <f>Черн_кон.рас.!S18</f>
        <v>730758.02151999995</v>
      </c>
      <c r="H20" s="28">
        <f>Черн_кон.рас.!V18</f>
        <v>490293.23314999999</v>
      </c>
      <c r="I20" s="28">
        <f>Черн_кон.рас.!Y18</f>
        <v>213825.31117999999</v>
      </c>
      <c r="J20" s="28">
        <f>Черн_кон.рас.!AB18</f>
        <v>5800</v>
      </c>
      <c r="K20" s="28">
        <f>Черн_кон.рас.!AE18</f>
        <v>20839.477190000001</v>
      </c>
      <c r="L20" s="28">
        <f t="shared" si="1"/>
        <v>35.414182064371062</v>
      </c>
      <c r="M20" s="28">
        <f t="shared" si="2"/>
        <v>96.141293132164577</v>
      </c>
      <c r="N20" s="28">
        <f t="shared" si="3"/>
        <v>-1.5779879336295863</v>
      </c>
      <c r="O20" s="28">
        <f t="shared" si="4"/>
        <v>-70.515570828715809</v>
      </c>
      <c r="P20" s="430">
        <f t="shared" si="5"/>
        <v>-60.495558343253592</v>
      </c>
    </row>
    <row r="21" spans="1:16" x14ac:dyDescent="0.25">
      <c r="A21" s="103" t="s">
        <v>163</v>
      </c>
      <c r="B21" s="28">
        <f>Черн_кон.рас.!D19</f>
        <v>716079.13116999995</v>
      </c>
      <c r="C21" s="28">
        <f>Черн_кон.рас.!G19</f>
        <v>216750.92369</v>
      </c>
      <c r="D21" s="28">
        <f>Черн_кон.рас.!J19</f>
        <v>360931.90048000001</v>
      </c>
      <c r="E21" s="28">
        <f>Черн_кон.рас.!M19</f>
        <v>131172.1</v>
      </c>
      <c r="F21" s="28">
        <f>Черн_кон.рас.!P19</f>
        <v>7224.2070000000003</v>
      </c>
      <c r="G21" s="28">
        <f>Черн_кон.рас.!S19</f>
        <v>1218082.3523200001</v>
      </c>
      <c r="H21" s="28">
        <f>Черн_кон.рас.!V19</f>
        <v>701361.96253000002</v>
      </c>
      <c r="I21" s="28">
        <f>Черн_кон.рас.!Y19</f>
        <v>400066.77879000001</v>
      </c>
      <c r="J21" s="28">
        <f>Черн_кон.рас.!AB19</f>
        <v>64022.5</v>
      </c>
      <c r="K21" s="28">
        <f>Черн_кон.рас.!AE19</f>
        <v>52631.110999999997</v>
      </c>
      <c r="L21" s="28">
        <f t="shared" si="1"/>
        <v>70.104433895424137</v>
      </c>
      <c r="M21" s="495" t="s">
        <v>599</v>
      </c>
      <c r="N21" s="28">
        <f t="shared" si="3"/>
        <v>10.842731899827882</v>
      </c>
      <c r="O21" s="28">
        <f t="shared" si="4"/>
        <v>-51.191983661159654</v>
      </c>
      <c r="P21" s="494" t="s">
        <v>664</v>
      </c>
    </row>
    <row r="22" spans="1:16" x14ac:dyDescent="0.25">
      <c r="A22" s="103" t="s">
        <v>164</v>
      </c>
      <c r="B22" s="28">
        <f>Черн_кон.рас.!D20</f>
        <v>795982.24036000005</v>
      </c>
      <c r="C22" s="28">
        <f>Черн_кон.рас.!G20</f>
        <v>223518.82333000001</v>
      </c>
      <c r="D22" s="28">
        <f>Черн_кон.рас.!J20</f>
        <v>439806.00003</v>
      </c>
      <c r="E22" s="28">
        <f>Черн_кон.рас.!M20</f>
        <v>124685.8</v>
      </c>
      <c r="F22" s="28">
        <f>Черн_кон.рас.!P20</f>
        <v>7971.6170000000002</v>
      </c>
      <c r="G22" s="28">
        <f>Черн_кон.рас.!S20</f>
        <v>842408.64740999998</v>
      </c>
      <c r="H22" s="28">
        <f>Черн_кон.рас.!V20</f>
        <v>242918.95483</v>
      </c>
      <c r="I22" s="28">
        <f>Черн_кон.рас.!Y20</f>
        <v>452071.78258</v>
      </c>
      <c r="J22" s="28">
        <f>Черн_кон.рас.!AB20</f>
        <v>132553.5</v>
      </c>
      <c r="K22" s="28">
        <f>Черн_кон.рас.!AE20</f>
        <v>14864.41</v>
      </c>
      <c r="L22" s="28">
        <f t="shared" si="1"/>
        <v>5.8325933288414404</v>
      </c>
      <c r="M22" s="28">
        <f t="shared" si="2"/>
        <v>8.6794173354061996</v>
      </c>
      <c r="N22" s="28">
        <f t="shared" si="3"/>
        <v>2.7889075067560043</v>
      </c>
      <c r="O22" s="28">
        <f t="shared" si="4"/>
        <v>6.3100208684549557</v>
      </c>
      <c r="P22" s="430">
        <f t="shared" si="5"/>
        <v>86.466685491789178</v>
      </c>
    </row>
    <row r="23" spans="1:16" x14ac:dyDescent="0.25">
      <c r="A23" s="103" t="s">
        <v>165</v>
      </c>
      <c r="B23" s="28">
        <f>Черн_кон.рас.!D21</f>
        <v>1204381.3093099999</v>
      </c>
      <c r="C23" s="28">
        <f>Черн_кон.рас.!G21</f>
        <v>430085.18656</v>
      </c>
      <c r="D23" s="28">
        <f>Черн_кон.рас.!J21</f>
        <v>584094.24520999996</v>
      </c>
      <c r="E23" s="28">
        <f>Черн_кон.рас.!M21</f>
        <v>131783.29999999999</v>
      </c>
      <c r="F23" s="28">
        <f>Черн_кон.рас.!P21</f>
        <v>58418.577539999998</v>
      </c>
      <c r="G23" s="28">
        <f>Черн_кон.рас.!S21</f>
        <v>1316432.4772699999</v>
      </c>
      <c r="H23" s="28">
        <f>Черн_кон.рас.!V21</f>
        <v>423242.49109999998</v>
      </c>
      <c r="I23" s="28">
        <f>Черн_кон.рас.!Y21</f>
        <v>593683.34634000005</v>
      </c>
      <c r="J23" s="28">
        <f>Черн_кон.рас.!AB21</f>
        <v>114460.7</v>
      </c>
      <c r="K23" s="28">
        <f>Черн_кон.рас.!AE21</f>
        <v>185045.93982999999</v>
      </c>
      <c r="L23" s="28">
        <f t="shared" si="1"/>
        <v>9.3036289332815159</v>
      </c>
      <c r="M23" s="28">
        <f t="shared" si="2"/>
        <v>-1.5910093334603488</v>
      </c>
      <c r="N23" s="28">
        <f t="shared" si="3"/>
        <v>1.6417044353094923</v>
      </c>
      <c r="O23" s="28">
        <f t="shared" si="4"/>
        <v>-13.144761134377418</v>
      </c>
      <c r="P23" s="494" t="s">
        <v>599</v>
      </c>
    </row>
    <row r="24" spans="1:16" x14ac:dyDescent="0.25">
      <c r="A24" s="103" t="s">
        <v>166</v>
      </c>
      <c r="B24" s="28">
        <f>Черн_кон.рас.!D22</f>
        <v>945304.52278</v>
      </c>
      <c r="C24" s="28">
        <f>Черн_кон.рас.!G22</f>
        <v>96598.948390000005</v>
      </c>
      <c r="D24" s="28">
        <f>Черн_кон.рас.!J22</f>
        <v>642221.26739000005</v>
      </c>
      <c r="E24" s="28">
        <f>Черн_кон.рас.!M22</f>
        <v>198538.4</v>
      </c>
      <c r="F24" s="28">
        <f>Черн_кон.рас.!P22</f>
        <v>7945.9070000000002</v>
      </c>
      <c r="G24" s="28">
        <f>Черн_кон.рас.!S22</f>
        <v>1023144.76624</v>
      </c>
      <c r="H24" s="28">
        <f>Черн_кон.рас.!V22</f>
        <v>163957.47615</v>
      </c>
      <c r="I24" s="28">
        <f>Черн_кон.рас.!Y22</f>
        <v>690532.90297000005</v>
      </c>
      <c r="J24" s="28">
        <f>Черн_кон.рас.!AB22</f>
        <v>132582.6</v>
      </c>
      <c r="K24" s="28">
        <f>Черн_кон.рас.!AE22</f>
        <v>36071.787120000001</v>
      </c>
      <c r="L24" s="28">
        <f t="shared" si="1"/>
        <v>8.2344092918421126</v>
      </c>
      <c r="M24" s="28">
        <f t="shared" si="2"/>
        <v>69.730083901175249</v>
      </c>
      <c r="N24" s="28">
        <f t="shared" si="3"/>
        <v>7.5225841984865269</v>
      </c>
      <c r="O24" s="28">
        <f t="shared" si="4"/>
        <v>-33.220676705362791</v>
      </c>
      <c r="P24" s="494" t="s">
        <v>665</v>
      </c>
    </row>
    <row r="25" spans="1:16" x14ac:dyDescent="0.25">
      <c r="A25" s="103" t="s">
        <v>167</v>
      </c>
      <c r="B25" s="28">
        <f>Черн_кон.рас.!D23</f>
        <v>918717.30793000001</v>
      </c>
      <c r="C25" s="28">
        <f>Черн_кон.рас.!G23</f>
        <v>327438.42559</v>
      </c>
      <c r="D25" s="28">
        <f>Черн_кон.рас.!J23</f>
        <v>455274.34596000001</v>
      </c>
      <c r="E25" s="28">
        <f>Черн_кон.рас.!M23</f>
        <v>19622.7</v>
      </c>
      <c r="F25" s="28">
        <f>Черн_кон.рас.!P23</f>
        <v>116381.83637999999</v>
      </c>
      <c r="G25" s="28">
        <f>Черн_кон.рас.!S23</f>
        <v>1096893.18408</v>
      </c>
      <c r="H25" s="28">
        <f>Черн_кон.рас.!V23</f>
        <v>540896.33840000001</v>
      </c>
      <c r="I25" s="28">
        <f>Черн_кон.рас.!Y23</f>
        <v>479715.71367999999</v>
      </c>
      <c r="J25" s="28">
        <f>Черн_кон.рас.!AB23</f>
        <v>4300</v>
      </c>
      <c r="K25" s="28">
        <f>Черн_кон.рас.!AE23</f>
        <v>71981.131999999998</v>
      </c>
      <c r="L25" s="28">
        <f t="shared" si="1"/>
        <v>19.393982742249122</v>
      </c>
      <c r="M25" s="28">
        <f t="shared" si="2"/>
        <v>65.190245288217938</v>
      </c>
      <c r="N25" s="28">
        <f t="shared" si="3"/>
        <v>5.3684921930890823</v>
      </c>
      <c r="O25" s="28">
        <f t="shared" si="4"/>
        <v>-78.086603780315656</v>
      </c>
      <c r="P25" s="430">
        <f t="shared" si="5"/>
        <v>-38.150888283826895</v>
      </c>
    </row>
    <row r="26" spans="1:16" x14ac:dyDescent="0.25">
      <c r="A26" s="103" t="s">
        <v>168</v>
      </c>
      <c r="B26" s="28">
        <f>Черн_кон.рас.!D24</f>
        <v>1143753.07996</v>
      </c>
      <c r="C26" s="28">
        <f>Черн_кон.рас.!G24</f>
        <v>382286.81186000002</v>
      </c>
      <c r="D26" s="28">
        <f>Черн_кон.рас.!J24</f>
        <v>667776.95282000001</v>
      </c>
      <c r="E26" s="28">
        <f>Черн_кон.рас.!M24</f>
        <v>88129.3</v>
      </c>
      <c r="F26" s="28">
        <f>Черн_кон.рас.!P24</f>
        <v>5560.0152799999996</v>
      </c>
      <c r="G26" s="28">
        <f>Черн_кон.рас.!S24</f>
        <v>1440798.1897700001</v>
      </c>
      <c r="H26" s="28">
        <f>Черн_кон.рас.!V24</f>
        <v>659037.87552</v>
      </c>
      <c r="I26" s="28">
        <f>Черн_кон.рас.!Y24</f>
        <v>694477.60624999995</v>
      </c>
      <c r="J26" s="28">
        <f>Черн_кон.рас.!AB24</f>
        <v>74154.100000000006</v>
      </c>
      <c r="K26" s="28">
        <f>Черн_кон.рас.!AE24</f>
        <v>13128.608</v>
      </c>
      <c r="L26" s="28">
        <f t="shared" si="1"/>
        <v>25.971087205324821</v>
      </c>
      <c r="M26" s="28">
        <f t="shared" si="2"/>
        <v>72.3935681467743</v>
      </c>
      <c r="N26" s="28">
        <f t="shared" si="3"/>
        <v>3.998438897485741</v>
      </c>
      <c r="O26" s="28">
        <f t="shared" si="4"/>
        <v>-15.857609217365848</v>
      </c>
      <c r="P26" s="494" t="s">
        <v>586</v>
      </c>
    </row>
    <row r="27" spans="1:16" x14ac:dyDescent="0.25">
      <c r="A27" s="103" t="s">
        <v>169</v>
      </c>
      <c r="B27" s="28">
        <f>Черн_кон.рас.!D25</f>
        <v>865671.52541</v>
      </c>
      <c r="C27" s="28">
        <f>Черн_кон.рас.!G25</f>
        <v>244967.56103000001</v>
      </c>
      <c r="D27" s="28">
        <f>Черн_кон.рас.!J25</f>
        <v>501036.47451999999</v>
      </c>
      <c r="E27" s="28">
        <f>Черн_кон.рас.!M25</f>
        <v>111360</v>
      </c>
      <c r="F27" s="28">
        <f>Черн_кон.рас.!P25</f>
        <v>8307.4898599999997</v>
      </c>
      <c r="G27" s="28">
        <f>Черн_кон.рас.!S25</f>
        <v>1031748.58682</v>
      </c>
      <c r="H27" s="28">
        <f>Черн_кон.рас.!V25</f>
        <v>390447.56342000002</v>
      </c>
      <c r="I27" s="28">
        <f>Черн_кон.рас.!Y25</f>
        <v>538034.89257999999</v>
      </c>
      <c r="J27" s="28">
        <f>Черн_кон.рас.!AB25</f>
        <v>81283.5</v>
      </c>
      <c r="K27" s="28">
        <f>Черн_кон.рас.!AE25</f>
        <v>21982.630819999998</v>
      </c>
      <c r="L27" s="28">
        <f t="shared" si="1"/>
        <v>19.184766569668838</v>
      </c>
      <c r="M27" s="28">
        <f t="shared" si="2"/>
        <v>59.387455946538068</v>
      </c>
      <c r="N27" s="28">
        <f t="shared" si="3"/>
        <v>7.3843761764939444</v>
      </c>
      <c r="O27" s="28">
        <f t="shared" si="4"/>
        <v>-27.008351293103445</v>
      </c>
      <c r="P27" s="494" t="s">
        <v>589</v>
      </c>
    </row>
    <row r="28" spans="1:16" x14ac:dyDescent="0.25">
      <c r="A28" s="103" t="s">
        <v>170</v>
      </c>
      <c r="B28" s="28">
        <f>Черн_кон.рас.!D26</f>
        <v>428165.07773000002</v>
      </c>
      <c r="C28" s="28">
        <f>Черн_кон.рас.!G26</f>
        <v>135755.94886999999</v>
      </c>
      <c r="D28" s="28">
        <f>Черн_кон.рас.!J26</f>
        <v>208300.69678</v>
      </c>
      <c r="E28" s="28">
        <f>Черн_кон.рас.!M26</f>
        <v>72179.199999999997</v>
      </c>
      <c r="F28" s="28">
        <f>Черн_кон.рас.!P26</f>
        <v>11929.23208</v>
      </c>
      <c r="G28" s="28">
        <f>Черн_кон.рас.!S26</f>
        <v>475556.68907999998</v>
      </c>
      <c r="H28" s="28">
        <f>Черн_кон.рас.!V26</f>
        <v>172358.58077999999</v>
      </c>
      <c r="I28" s="28">
        <f>Черн_кон.рас.!Y26</f>
        <v>228283.88029999999</v>
      </c>
      <c r="J28" s="28">
        <f>Черн_кон.рас.!AB26</f>
        <v>62543.6</v>
      </c>
      <c r="K28" s="28">
        <f>Черн_кон.рас.!AE26</f>
        <v>12370.628000000001</v>
      </c>
      <c r="L28" s="28">
        <f t="shared" si="1"/>
        <v>11.068537303709064</v>
      </c>
      <c r="M28" s="28">
        <f t="shared" si="2"/>
        <v>26.962083219683208</v>
      </c>
      <c r="N28" s="28">
        <f t="shared" si="3"/>
        <v>9.5934309529005333</v>
      </c>
      <c r="O28" s="28">
        <f t="shared" si="4"/>
        <v>-13.349552225571898</v>
      </c>
      <c r="P28" s="430">
        <f t="shared" si="5"/>
        <v>3.7001201505671446</v>
      </c>
    </row>
    <row r="29" spans="1:16" x14ac:dyDescent="0.25">
      <c r="A29" s="103" t="s">
        <v>171</v>
      </c>
      <c r="B29" s="28">
        <f>Черн_кон.рас.!D27</f>
        <v>5156387.6288900003</v>
      </c>
      <c r="C29" s="28">
        <f>Черн_кон.рас.!G27</f>
        <v>777459.90607999999</v>
      </c>
      <c r="D29" s="28">
        <f>Черн_кон.рас.!J27</f>
        <v>3585686.5452000001</v>
      </c>
      <c r="E29" s="28">
        <f>Черн_кон.рас.!M27</f>
        <v>18434.3</v>
      </c>
      <c r="F29" s="28">
        <f>Черн_кон.рас.!P27</f>
        <v>774806.87760999997</v>
      </c>
      <c r="G29" s="28">
        <f>Черн_кон.рас.!S27</f>
        <v>7203347.9994200002</v>
      </c>
      <c r="H29" s="28">
        <f>Черн_кон.рас.!V27</f>
        <v>2193016.3851299998</v>
      </c>
      <c r="I29" s="28">
        <f>Черн_кон.рас.!Y27</f>
        <v>3850637.3662</v>
      </c>
      <c r="J29" s="28">
        <f>Черн_кон.рас.!AB27</f>
        <v>0</v>
      </c>
      <c r="K29" s="28">
        <f>Черн_кон.рас.!AE27</f>
        <v>1159694.2480899999</v>
      </c>
      <c r="L29" s="28">
        <f t="shared" si="1"/>
        <v>39.697565773786522</v>
      </c>
      <c r="M29" s="495" t="s">
        <v>659</v>
      </c>
      <c r="N29" s="28">
        <f t="shared" si="3"/>
        <v>7.3891238863217978</v>
      </c>
      <c r="O29" s="28">
        <f t="shared" si="4"/>
        <v>-100</v>
      </c>
      <c r="P29" s="430">
        <f t="shared" si="5"/>
        <v>49.675265101832707</v>
      </c>
    </row>
    <row r="30" spans="1:16" x14ac:dyDescent="0.25">
      <c r="A30" s="103" t="s">
        <v>172</v>
      </c>
      <c r="B30" s="28">
        <f>Черн_кон.рас.!D28</f>
        <v>4074171.6908999998</v>
      </c>
      <c r="C30" s="28">
        <f>Черн_кон.рас.!G28</f>
        <v>802216.24305000005</v>
      </c>
      <c r="D30" s="28">
        <f>Черн_кон.рас.!J28</f>
        <v>2649694.2622600002</v>
      </c>
      <c r="E30" s="28">
        <f>Черн_кон.рас.!M28</f>
        <v>20463.099999999999</v>
      </c>
      <c r="F30" s="28">
        <f>Черн_кон.рас.!P28</f>
        <v>601798.08559000003</v>
      </c>
      <c r="G30" s="28">
        <f>Черн_кон.рас.!S28</f>
        <v>4701694.4807900004</v>
      </c>
      <c r="H30" s="28">
        <f>Черн_кон.рас.!V28</f>
        <v>1021228.5131400001</v>
      </c>
      <c r="I30" s="28">
        <f>Черн_кон.рас.!Y28</f>
        <v>2903545.8450500001</v>
      </c>
      <c r="J30" s="28">
        <f>Черн_кон.рас.!AB28</f>
        <v>0</v>
      </c>
      <c r="K30" s="28">
        <f>Черн_кон.рас.!AE28</f>
        <v>776920.1226</v>
      </c>
      <c r="L30" s="28">
        <f t="shared" si="1"/>
        <v>15.402463064863596</v>
      </c>
      <c r="M30" s="28">
        <f t="shared" si="2"/>
        <v>27.300901968442133</v>
      </c>
      <c r="N30" s="28">
        <f t="shared" si="3"/>
        <v>9.5804103290574574</v>
      </c>
      <c r="O30" s="28">
        <f t="shared" si="4"/>
        <v>-100</v>
      </c>
      <c r="P30" s="430">
        <f t="shared" si="5"/>
        <v>29.099799617725807</v>
      </c>
    </row>
    <row r="31" spans="1:16" x14ac:dyDescent="0.25">
      <c r="A31" s="103" t="s">
        <v>173</v>
      </c>
      <c r="B31" s="28">
        <f>Черн_кон.рас.!D29</f>
        <v>1640276.81963</v>
      </c>
      <c r="C31" s="28">
        <f>Черн_кон.рас.!G29</f>
        <v>363984.92843000003</v>
      </c>
      <c r="D31" s="28">
        <f>Черн_кон.рас.!J29</f>
        <v>901692.45194000006</v>
      </c>
      <c r="E31" s="28">
        <f>Черн_кон.рас.!M29</f>
        <v>185810.1</v>
      </c>
      <c r="F31" s="28">
        <f>Черн_кон.рас.!P29</f>
        <v>188789.33926000001</v>
      </c>
      <c r="G31" s="28">
        <f>Черн_кон.рас.!S29</f>
        <v>2454079.9701899998</v>
      </c>
      <c r="H31" s="28">
        <f>Черн_кон.рас.!V29</f>
        <v>1161271.2169000001</v>
      </c>
      <c r="I31" s="28">
        <f>Черн_кон.рас.!Y29</f>
        <v>993685.07018000004</v>
      </c>
      <c r="J31" s="28">
        <f>Черн_кон.рас.!AB29</f>
        <v>156529.60000000001</v>
      </c>
      <c r="K31" s="28">
        <f>Черн_кон.рас.!AE29</f>
        <v>142594.08311000001</v>
      </c>
      <c r="L31" s="28">
        <f t="shared" si="1"/>
        <v>49.613768896860392</v>
      </c>
      <c r="M31" s="495" t="s">
        <v>599</v>
      </c>
      <c r="N31" s="28">
        <f t="shared" si="3"/>
        <v>10.202216736102969</v>
      </c>
      <c r="O31" s="28">
        <f t="shared" si="4"/>
        <v>-15.758293009906353</v>
      </c>
      <c r="P31" s="430">
        <f t="shared" si="5"/>
        <v>-24.469208023648008</v>
      </c>
    </row>
    <row r="32" spans="1:16" x14ac:dyDescent="0.25">
      <c r="A32" s="103" t="s">
        <v>174</v>
      </c>
      <c r="B32" s="28">
        <f>Черн_кон.рас.!D30</f>
        <v>726752.58785000001</v>
      </c>
      <c r="C32" s="28">
        <f>Черн_кон.рас.!G30</f>
        <v>93874.257610000001</v>
      </c>
      <c r="D32" s="28">
        <f>Черн_кон.рас.!J30</f>
        <v>451493.56732999999</v>
      </c>
      <c r="E32" s="28">
        <f>Черн_кон.рас.!M30</f>
        <v>119231.7</v>
      </c>
      <c r="F32" s="28">
        <f>Черн_кон.рас.!P30</f>
        <v>62153.062910000001</v>
      </c>
      <c r="G32" s="28">
        <f>Черн_кон.рас.!S30</f>
        <v>1016079.75294</v>
      </c>
      <c r="H32" s="28">
        <f>Черн_кон.рас.!V30</f>
        <v>248774.36215999999</v>
      </c>
      <c r="I32" s="28">
        <f>Черн_кон.рас.!Y30</f>
        <v>507820.67012000002</v>
      </c>
      <c r="J32" s="28">
        <f>Черн_кон.рас.!AB30</f>
        <v>167875.1</v>
      </c>
      <c r="K32" s="28">
        <f>Черн_кон.рас.!AE30</f>
        <v>91609.62066</v>
      </c>
      <c r="L32" s="28">
        <f t="shared" si="1"/>
        <v>39.810957666616019</v>
      </c>
      <c r="M32" s="495" t="s">
        <v>587</v>
      </c>
      <c r="N32" s="28">
        <f t="shared" si="3"/>
        <v>12.475726536504595</v>
      </c>
      <c r="O32" s="28">
        <f t="shared" si="4"/>
        <v>40.79737183987146</v>
      </c>
      <c r="P32" s="430">
        <f t="shared" si="5"/>
        <v>47.393573817358288</v>
      </c>
    </row>
    <row r="33" spans="1:18" x14ac:dyDescent="0.25">
      <c r="A33" s="103" t="s">
        <v>175</v>
      </c>
      <c r="B33" s="28">
        <f>Черн_кон.рас.!D31</f>
        <v>803468.60634000006</v>
      </c>
      <c r="C33" s="28">
        <f>Черн_кон.рас.!G31</f>
        <v>130938.61663</v>
      </c>
      <c r="D33" s="28">
        <f>Черн_кон.рас.!J31</f>
        <v>490296.85570999997</v>
      </c>
      <c r="E33" s="28">
        <f>Черн_кон.рас.!M31</f>
        <v>177629.6</v>
      </c>
      <c r="F33" s="28">
        <f>Черн_кон.рас.!P31</f>
        <v>4603.5339999999997</v>
      </c>
      <c r="G33" s="28">
        <f>Черн_кон.рас.!S31</f>
        <v>720048.33267000003</v>
      </c>
      <c r="H33" s="28">
        <f>Черн_кон.рас.!V31</f>
        <v>182056.06531000001</v>
      </c>
      <c r="I33" s="28">
        <f>Черн_кон.рас.!Y31</f>
        <v>513888.00135999999</v>
      </c>
      <c r="J33" s="28">
        <f>Черн_кон.рас.!AB31</f>
        <v>22945.200000000001</v>
      </c>
      <c r="K33" s="28">
        <f>Черн_кон.рас.!AE31</f>
        <v>1159.066</v>
      </c>
      <c r="L33" s="28">
        <f t="shared" si="1"/>
        <v>-10.382518123514515</v>
      </c>
      <c r="M33" s="28">
        <f t="shared" si="2"/>
        <v>39.039246018953463</v>
      </c>
      <c r="N33" s="28">
        <f t="shared" si="3"/>
        <v>4.8116045157657794</v>
      </c>
      <c r="O33" s="28">
        <f t="shared" si="4"/>
        <v>-87.082558312353342</v>
      </c>
      <c r="P33" s="430">
        <f t="shared" si="5"/>
        <v>-74.82225611888606</v>
      </c>
    </row>
    <row r="34" spans="1:18" x14ac:dyDescent="0.25">
      <c r="A34" s="103" t="s">
        <v>176</v>
      </c>
      <c r="B34" s="28">
        <f>Черн_кон.рас.!D32</f>
        <v>1305703.1767599999</v>
      </c>
      <c r="C34" s="28">
        <f>Черн_кон.рас.!G32</f>
        <v>681000.47375</v>
      </c>
      <c r="D34" s="28">
        <f>Черн_кон.рас.!J32</f>
        <v>364937.00101000001</v>
      </c>
      <c r="E34" s="28">
        <f>Черн_кон.рас.!M32</f>
        <v>251842.8</v>
      </c>
      <c r="F34" s="28">
        <f>Черн_кон.рас.!P32</f>
        <v>7922.902</v>
      </c>
      <c r="G34" s="28">
        <f>Черн_кон.рас.!S32</f>
        <v>1236084.01355</v>
      </c>
      <c r="H34" s="28">
        <f>Черн_кон.рас.!V32</f>
        <v>693180.03885999997</v>
      </c>
      <c r="I34" s="28">
        <f>Черн_кон.рас.!Y32</f>
        <v>371291.21068999998</v>
      </c>
      <c r="J34" s="28">
        <f>Черн_кон.рас.!AB32</f>
        <v>165146</v>
      </c>
      <c r="K34" s="28">
        <f>Черн_кон.рас.!AE32</f>
        <v>6466.7640000000001</v>
      </c>
      <c r="L34" s="28">
        <f t="shared" si="1"/>
        <v>-5.3319287606203432</v>
      </c>
      <c r="M34" s="28">
        <f t="shared" si="2"/>
        <v>1.7884811508179865</v>
      </c>
      <c r="N34" s="28">
        <f t="shared" si="3"/>
        <v>1.7411798919852117</v>
      </c>
      <c r="O34" s="28">
        <f t="shared" si="4"/>
        <v>-34.424966685567341</v>
      </c>
      <c r="P34" s="430">
        <f t="shared" si="5"/>
        <v>-18.378846538806116</v>
      </c>
    </row>
    <row r="35" spans="1:18" x14ac:dyDescent="0.25">
      <c r="A35" s="103" t="s">
        <v>177</v>
      </c>
      <c r="B35" s="28">
        <f>Черн_кон.рас.!D33</f>
        <v>10968.634110000001</v>
      </c>
      <c r="C35" s="28">
        <f>Черн_кон.рас.!G33</f>
        <v>156</v>
      </c>
      <c r="D35" s="28">
        <f>Черн_кон.рас.!J33</f>
        <v>6981.7341100000003</v>
      </c>
      <c r="E35" s="28">
        <f>Черн_кон.рас.!M33</f>
        <v>3781.7</v>
      </c>
      <c r="F35" s="28">
        <f>Черн_кон.рас.!P33</f>
        <v>49.2</v>
      </c>
      <c r="G35" s="28">
        <f>Черн_кон.рас.!S33</f>
        <v>8632.3919499999993</v>
      </c>
      <c r="H35" s="28">
        <f>Черн_кон.рас.!V33</f>
        <v>0</v>
      </c>
      <c r="I35" s="28">
        <f>Черн_кон.рас.!Y33</f>
        <v>8632.3919499999993</v>
      </c>
      <c r="J35" s="28">
        <f>Черн_кон.рас.!AB33</f>
        <v>0</v>
      </c>
      <c r="K35" s="28">
        <f>Черн_кон.рас.!AE33</f>
        <v>0</v>
      </c>
      <c r="L35" s="28">
        <f t="shared" si="1"/>
        <v>-21.299298860466791</v>
      </c>
      <c r="M35" s="28">
        <f t="shared" si="2"/>
        <v>-100</v>
      </c>
      <c r="N35" s="28">
        <f t="shared" si="3"/>
        <v>23.642519379759051</v>
      </c>
      <c r="O35" s="28">
        <f t="shared" si="4"/>
        <v>-100</v>
      </c>
      <c r="P35" s="430">
        <f t="shared" si="5"/>
        <v>-100</v>
      </c>
    </row>
    <row r="36" spans="1:18" s="180" customFormat="1" ht="13.8" thickBot="1" x14ac:dyDescent="0.3">
      <c r="A36" s="241" t="s">
        <v>178</v>
      </c>
      <c r="B36" s="242">
        <f>SUM(B10:B35)</f>
        <v>28029228.720239997</v>
      </c>
      <c r="C36" s="242">
        <f t="shared" ref="C36:F36" si="6">SUM(C10:C35)</f>
        <v>7689198.0676600011</v>
      </c>
      <c r="D36" s="242">
        <f t="shared" si="6"/>
        <v>15892289.137969999</v>
      </c>
      <c r="E36" s="242">
        <f t="shared" si="6"/>
        <v>2467534.7489999998</v>
      </c>
      <c r="F36" s="242">
        <f t="shared" si="6"/>
        <v>1980206.7656100001</v>
      </c>
      <c r="G36" s="242">
        <f>SUM(G10:G35)</f>
        <v>34200785.744719997</v>
      </c>
      <c r="H36" s="242">
        <f t="shared" ref="H36:K36" si="7">SUM(H10:H35)</f>
        <v>12626776.670740001</v>
      </c>
      <c r="I36" s="242">
        <f t="shared" si="7"/>
        <v>16995672.791300002</v>
      </c>
      <c r="J36" s="242">
        <f t="shared" si="7"/>
        <v>1770560.0860000004</v>
      </c>
      <c r="K36" s="242">
        <f t="shared" si="7"/>
        <v>2807776.1966800001</v>
      </c>
      <c r="L36" s="242">
        <f t="shared" ref="L36" si="8">G36/B36%-100</f>
        <v>22.018290571169004</v>
      </c>
      <c r="M36" s="242">
        <f t="shared" ref="M36" si="9">H36/C36%-100</f>
        <v>64.214480621158174</v>
      </c>
      <c r="N36" s="242">
        <f t="shared" ref="N36" si="10">I36/D36%-100</f>
        <v>6.9428868538125812</v>
      </c>
      <c r="O36" s="242">
        <f t="shared" ref="O36" si="11">J36/E36%-100</f>
        <v>-28.245789174091982</v>
      </c>
      <c r="P36" s="431">
        <f t="shared" ref="P36" si="12">K36/F36%-100</f>
        <v>41.792071688789946</v>
      </c>
      <c r="R36" s="181"/>
    </row>
    <row r="37" spans="1:18" ht="13.8" thickTop="1" x14ac:dyDescent="0.25"/>
  </sheetData>
  <autoFilter ref="A9:P36"/>
  <mergeCells count="25">
    <mergeCell ref="N1:P1"/>
    <mergeCell ref="A3:P3"/>
    <mergeCell ref="A5:A8"/>
    <mergeCell ref="B5:F5"/>
    <mergeCell ref="G5:K5"/>
    <mergeCell ref="L5:P5"/>
    <mergeCell ref="B6:B8"/>
    <mergeCell ref="C6:F6"/>
    <mergeCell ref="G6:G8"/>
    <mergeCell ref="H6:K6"/>
    <mergeCell ref="L6:L8"/>
    <mergeCell ref="M6:P6"/>
    <mergeCell ref="C7:C8"/>
    <mergeCell ref="D7:D8"/>
    <mergeCell ref="E7:E8"/>
    <mergeCell ref="F7:F8"/>
    <mergeCell ref="O4:P4"/>
    <mergeCell ref="H7:H8"/>
    <mergeCell ref="O7:O8"/>
    <mergeCell ref="P7:P8"/>
    <mergeCell ref="I7:I8"/>
    <mergeCell ref="J7:J8"/>
    <mergeCell ref="K7:K8"/>
    <mergeCell ref="M7:M8"/>
    <mergeCell ref="N7:N8"/>
  </mergeCells>
  <printOptions horizontalCentered="1"/>
  <pageMargins left="0" right="0" top="0.55118110236220474" bottom="0.35433070866141736" header="0.11811023622047245" footer="0.11811023622047245"/>
  <pageSetup paperSize="9" scale="81" orientation="landscape" r:id="rId1"/>
  <headerFooter>
    <oddFooter>&amp;C&amp;9&amp;P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7"/>
  <sheetViews>
    <sheetView zoomScale="130" zoomScaleNormal="130" workbookViewId="0">
      <pane xSplit="1" ySplit="7" topLeftCell="B31" activePane="bottomRight" state="frozen"/>
      <selection pane="topRight" activeCell="B1" sqref="B1"/>
      <selection pane="bottomLeft" activeCell="A8" sqref="A8"/>
      <selection pane="bottomRight" activeCell="C6" sqref="C6"/>
    </sheetView>
  </sheetViews>
  <sheetFormatPr defaultColWidth="9.109375" defaultRowHeight="13.2" x14ac:dyDescent="0.25"/>
  <cols>
    <col min="1" max="1" width="21.5546875" style="233" customWidth="1"/>
    <col min="2" max="2" width="12.33203125" style="234" bestFit="1" customWidth="1"/>
    <col min="3" max="3" width="11.33203125" style="234" bestFit="1" customWidth="1"/>
    <col min="4" max="4" width="8.109375" style="234" customWidth="1"/>
    <col min="5" max="5" width="13.44140625" style="234" bestFit="1" customWidth="1"/>
    <col min="6" max="6" width="11.88671875" style="234" bestFit="1" customWidth="1"/>
    <col min="7" max="16384" width="9.109375" style="234"/>
  </cols>
  <sheetData>
    <row r="1" spans="1:10" s="233" customFormat="1" x14ac:dyDescent="0.25">
      <c r="H1" s="1011" t="s">
        <v>602</v>
      </c>
      <c r="I1" s="1011"/>
      <c r="J1" s="1011"/>
    </row>
    <row r="2" spans="1:10" s="233" customFormat="1" ht="42.75" customHeight="1" x14ac:dyDescent="0.25">
      <c r="A2" s="1012" t="s">
        <v>2448</v>
      </c>
      <c r="B2" s="1012"/>
      <c r="C2" s="1012"/>
      <c r="D2" s="1012"/>
      <c r="E2" s="1012"/>
      <c r="F2" s="1012"/>
      <c r="G2" s="1012"/>
      <c r="H2" s="1012"/>
      <c r="I2" s="1012"/>
      <c r="J2" s="1012"/>
    </row>
    <row r="3" spans="1:10" s="233" customFormat="1" ht="13.8" thickBot="1" x14ac:dyDescent="0.3">
      <c r="I3" s="1015" t="s">
        <v>180</v>
      </c>
      <c r="J3" s="1015"/>
    </row>
    <row r="4" spans="1:10" s="233" customFormat="1" ht="13.8" thickTop="1" x14ac:dyDescent="0.25">
      <c r="A4" s="977" t="s">
        <v>181</v>
      </c>
      <c r="B4" s="1013" t="s">
        <v>538</v>
      </c>
      <c r="C4" s="1013"/>
      <c r="D4" s="1013"/>
      <c r="E4" s="1013" t="s">
        <v>628</v>
      </c>
      <c r="F4" s="1013"/>
      <c r="G4" s="1013"/>
      <c r="H4" s="1013" t="s">
        <v>432</v>
      </c>
      <c r="I4" s="1013"/>
      <c r="J4" s="1014"/>
    </row>
    <row r="5" spans="1:10" s="233" customFormat="1" x14ac:dyDescent="0.25">
      <c r="A5" s="978"/>
      <c r="B5" s="1009" t="s">
        <v>186</v>
      </c>
      <c r="C5" s="403" t="s">
        <v>9</v>
      </c>
      <c r="D5" s="1009" t="s">
        <v>327</v>
      </c>
      <c r="E5" s="1009" t="s">
        <v>186</v>
      </c>
      <c r="F5" s="403" t="s">
        <v>9</v>
      </c>
      <c r="G5" s="1009" t="s">
        <v>327</v>
      </c>
      <c r="H5" s="1009" t="s">
        <v>570</v>
      </c>
      <c r="I5" s="403" t="s">
        <v>9</v>
      </c>
      <c r="J5" s="1010" t="s">
        <v>333</v>
      </c>
    </row>
    <row r="6" spans="1:10" s="233" customFormat="1" ht="52.5" customHeight="1" x14ac:dyDescent="0.25">
      <c r="A6" s="978"/>
      <c r="B6" s="1009"/>
      <c r="C6" s="403" t="s">
        <v>324</v>
      </c>
      <c r="D6" s="1009"/>
      <c r="E6" s="1009"/>
      <c r="F6" s="403" t="s">
        <v>324</v>
      </c>
      <c r="G6" s="1009"/>
      <c r="H6" s="1009"/>
      <c r="I6" s="403" t="s">
        <v>332</v>
      </c>
      <c r="J6" s="1010"/>
    </row>
    <row r="7" spans="1:10" s="233" customFormat="1" x14ac:dyDescent="0.25">
      <c r="A7" s="187" t="s">
        <v>14</v>
      </c>
      <c r="B7" s="200">
        <v>1</v>
      </c>
      <c r="C7" s="200">
        <v>2</v>
      </c>
      <c r="D7" s="200" t="s">
        <v>328</v>
      </c>
      <c r="E7" s="200">
        <v>4</v>
      </c>
      <c r="F7" s="200">
        <v>5</v>
      </c>
      <c r="G7" s="200" t="s">
        <v>329</v>
      </c>
      <c r="H7" s="200" t="s">
        <v>330</v>
      </c>
      <c r="I7" s="200" t="s">
        <v>331</v>
      </c>
      <c r="J7" s="201" t="s">
        <v>218</v>
      </c>
    </row>
    <row r="8" spans="1:10" x14ac:dyDescent="0.25">
      <c r="A8" s="404" t="s">
        <v>152</v>
      </c>
      <c r="B8" s="231">
        <f>Черн.!FH8</f>
        <v>234341.31184000045</v>
      </c>
      <c r="C8" s="231">
        <f>Черн.!FI8</f>
        <v>21654.178960000001</v>
      </c>
      <c r="D8" s="222">
        <f>C8/B8%</f>
        <v>9.2404445421832708</v>
      </c>
      <c r="E8" s="222">
        <f>Черн.!FJ8</f>
        <v>186944.50966000021</v>
      </c>
      <c r="F8" s="222">
        <f>Черн.!FK8</f>
        <v>22073.80588</v>
      </c>
      <c r="G8" s="222">
        <f>F8/E8%</f>
        <v>11.807678075246008</v>
      </c>
      <c r="H8" s="222">
        <f t="shared" ref="H8" si="0">E8/B8%-100</f>
        <v>-20.225542738431457</v>
      </c>
      <c r="I8" s="222">
        <f t="shared" ref="I8" si="1">F8/C8%-100</f>
        <v>1.9378565254085203</v>
      </c>
      <c r="J8" s="223">
        <f t="shared" ref="J8" si="2">G8-D8</f>
        <v>2.5672335330627369</v>
      </c>
    </row>
    <row r="9" spans="1:10" x14ac:dyDescent="0.25">
      <c r="A9" s="404" t="s">
        <v>153</v>
      </c>
      <c r="B9" s="231">
        <f>Черн.!FH9</f>
        <v>18070.538859999971</v>
      </c>
      <c r="C9" s="231">
        <f>Черн.!FI9</f>
        <v>13069.82308</v>
      </c>
      <c r="D9" s="222">
        <f t="shared" ref="D9:D33" si="3">C9/B9%</f>
        <v>72.326692531182331</v>
      </c>
      <c r="E9" s="222">
        <f>Черн.!FJ9</f>
        <v>19983.266280000098</v>
      </c>
      <c r="F9" s="222">
        <f>Черн.!FK9</f>
        <v>11671.09166</v>
      </c>
      <c r="G9" s="222">
        <f t="shared" ref="G9:G33" si="4">F9/E9%</f>
        <v>58.404324380548381</v>
      </c>
      <c r="H9" s="222">
        <f t="shared" ref="H9:H33" si="5">E9/B9%-100</f>
        <v>10.584783524270236</v>
      </c>
      <c r="I9" s="222">
        <f t="shared" ref="I9:I32" si="6">F9/C9%-100</f>
        <v>-10.701991996665953</v>
      </c>
      <c r="J9" s="223">
        <f t="shared" ref="J9:J33" si="7">G9-D9</f>
        <v>-13.92236815063395</v>
      </c>
    </row>
    <row r="10" spans="1:10" x14ac:dyDescent="0.25">
      <c r="A10" s="404" t="s">
        <v>154</v>
      </c>
      <c r="B10" s="231">
        <f>Черн.!FH10</f>
        <v>11842.53770999983</v>
      </c>
      <c r="C10" s="231">
        <f>Черн.!FI10</f>
        <v>3915.8969200000001</v>
      </c>
      <c r="D10" s="222">
        <f t="shared" si="3"/>
        <v>33.066366482358085</v>
      </c>
      <c r="E10" s="222">
        <f>Черн.!FJ10</f>
        <v>10348.577959999908</v>
      </c>
      <c r="F10" s="222">
        <f>Черн.!FK10</f>
        <v>3874.65787</v>
      </c>
      <c r="G10" s="222">
        <f t="shared" si="4"/>
        <v>37.441452197360988</v>
      </c>
      <c r="H10" s="222">
        <f t="shared" si="5"/>
        <v>-12.615199432621807</v>
      </c>
      <c r="I10" s="222">
        <f t="shared" si="6"/>
        <v>-1.0531188854685212</v>
      </c>
      <c r="J10" s="223">
        <f t="shared" si="7"/>
        <v>4.3750857150029034</v>
      </c>
    </row>
    <row r="11" spans="1:10" x14ac:dyDescent="0.25">
      <c r="A11" s="404" t="s">
        <v>155</v>
      </c>
      <c r="B11" s="231">
        <f>Черн.!FH11</f>
        <v>85858.755889999913</v>
      </c>
      <c r="C11" s="231">
        <f>Черн.!FI11</f>
        <v>7421.5724</v>
      </c>
      <c r="D11" s="222">
        <f t="shared" si="3"/>
        <v>8.6439319124403955</v>
      </c>
      <c r="E11" s="222">
        <f>Черн.!FJ11</f>
        <v>85742.944380000001</v>
      </c>
      <c r="F11" s="222">
        <f>Черн.!FK11</f>
        <v>6818.3524200000002</v>
      </c>
      <c r="G11" s="222">
        <f t="shared" si="4"/>
        <v>7.9520857013984427</v>
      </c>
      <c r="H11" s="222">
        <f t="shared" si="5"/>
        <v>-0.13488607981729217</v>
      </c>
      <c r="I11" s="222">
        <f t="shared" si="6"/>
        <v>-8.1279269067023989</v>
      </c>
      <c r="J11" s="223">
        <f t="shared" si="7"/>
        <v>-0.69184621104195276</v>
      </c>
    </row>
    <row r="12" spans="1:10" x14ac:dyDescent="0.25">
      <c r="A12" s="404" t="s">
        <v>156</v>
      </c>
      <c r="B12" s="231">
        <f>Черн.!FH12</f>
        <v>42306.537920000032</v>
      </c>
      <c r="C12" s="231">
        <f>Черн.!FI12</f>
        <v>39135.971619999997</v>
      </c>
      <c r="D12" s="152">
        <f t="shared" si="3"/>
        <v>92.505729714883671</v>
      </c>
      <c r="E12" s="222">
        <f>Черн.!FJ12</f>
        <v>43757.389010000043</v>
      </c>
      <c r="F12" s="222">
        <f>Черн.!FK12</f>
        <v>42658.029670000004</v>
      </c>
      <c r="G12" s="152">
        <f t="shared" si="4"/>
        <v>97.487602974325554</v>
      </c>
      <c r="H12" s="222">
        <f t="shared" si="5"/>
        <v>3.4293779669315114</v>
      </c>
      <c r="I12" s="222">
        <f t="shared" si="6"/>
        <v>8.999541608927629</v>
      </c>
      <c r="J12" s="407">
        <f t="shared" si="7"/>
        <v>4.9818732594418833</v>
      </c>
    </row>
    <row r="13" spans="1:10" x14ac:dyDescent="0.25">
      <c r="A13" s="404" t="s">
        <v>157</v>
      </c>
      <c r="B13" s="231">
        <f>Черн.!FH13</f>
        <v>19779.031650000019</v>
      </c>
      <c r="C13" s="231">
        <f>Черн.!FI13</f>
        <v>6893.3279599999996</v>
      </c>
      <c r="D13" s="222">
        <f t="shared" si="3"/>
        <v>34.851695886739698</v>
      </c>
      <c r="E13" s="222">
        <f>Черн.!FJ13</f>
        <v>19541.320569999982</v>
      </c>
      <c r="F13" s="222">
        <f>Черн.!FK13</f>
        <v>5800.2504200000003</v>
      </c>
      <c r="G13" s="222">
        <f t="shared" si="4"/>
        <v>29.681977731354547</v>
      </c>
      <c r="H13" s="222">
        <f t="shared" si="5"/>
        <v>-1.2018337611590653</v>
      </c>
      <c r="I13" s="222">
        <f t="shared" si="6"/>
        <v>-15.857036635175547</v>
      </c>
      <c r="J13" s="223">
        <f t="shared" si="7"/>
        <v>-5.1697181553851514</v>
      </c>
    </row>
    <row r="14" spans="1:10" x14ac:dyDescent="0.25">
      <c r="A14" s="404" t="s">
        <v>158</v>
      </c>
      <c r="B14" s="231">
        <f>Черн.!FH14</f>
        <v>18465.904229999986</v>
      </c>
      <c r="C14" s="231">
        <f>Черн.!FI14</f>
        <v>17444.07387</v>
      </c>
      <c r="D14" s="152">
        <f t="shared" si="3"/>
        <v>94.466394132273763</v>
      </c>
      <c r="E14" s="222">
        <f>Черн.!FJ14</f>
        <v>30093.914390000049</v>
      </c>
      <c r="F14" s="222">
        <f>Черн.!FK14</f>
        <v>20219.252690000001</v>
      </c>
      <c r="G14" s="222">
        <f t="shared" si="4"/>
        <v>67.187180863113923</v>
      </c>
      <c r="H14" s="222">
        <f t="shared" si="5"/>
        <v>62.970163904072564</v>
      </c>
      <c r="I14" s="222">
        <f t="shared" si="6"/>
        <v>15.909006351851687</v>
      </c>
      <c r="J14" s="223">
        <f t="shared" si="7"/>
        <v>-27.27921326915984</v>
      </c>
    </row>
    <row r="15" spans="1:10" x14ac:dyDescent="0.25">
      <c r="A15" s="404" t="s">
        <v>159</v>
      </c>
      <c r="B15" s="231">
        <f>Черн.!FH15</f>
        <v>19848.227279999992</v>
      </c>
      <c r="C15" s="231">
        <f>Черн.!FI15</f>
        <v>4176.5623100000003</v>
      </c>
      <c r="D15" s="222">
        <f t="shared" si="3"/>
        <v>21.042495388031458</v>
      </c>
      <c r="E15" s="222">
        <f>Черн.!FJ15</f>
        <v>18185.537119999994</v>
      </c>
      <c r="F15" s="222">
        <f>Черн.!FK15</f>
        <v>3455.4686799999999</v>
      </c>
      <c r="G15" s="222">
        <f t="shared" si="4"/>
        <v>19.001191205948839</v>
      </c>
      <c r="H15" s="222">
        <f t="shared" si="5"/>
        <v>-8.3770209628514465</v>
      </c>
      <c r="I15" s="222">
        <f t="shared" si="6"/>
        <v>-17.265242955276292</v>
      </c>
      <c r="J15" s="223">
        <f t="shared" si="7"/>
        <v>-2.0413041820826194</v>
      </c>
    </row>
    <row r="16" spans="1:10" x14ac:dyDescent="0.25">
      <c r="A16" s="404" t="s">
        <v>160</v>
      </c>
      <c r="B16" s="231">
        <f>Черн.!FH16</f>
        <v>7369.1161599999759</v>
      </c>
      <c r="C16" s="231">
        <f>Черн.!FI16</f>
        <v>6363.7663199999997</v>
      </c>
      <c r="D16" s="222">
        <f t="shared" si="3"/>
        <v>86.357253459280798</v>
      </c>
      <c r="E16" s="222">
        <f>Черн.!FJ16</f>
        <v>7043.4992000001948</v>
      </c>
      <c r="F16" s="222">
        <f>Черн.!FK16</f>
        <v>2052.9590699999999</v>
      </c>
      <c r="G16" s="222">
        <f t="shared" si="4"/>
        <v>29.146863110312314</v>
      </c>
      <c r="H16" s="222">
        <f t="shared" si="5"/>
        <v>-4.4186704745848715</v>
      </c>
      <c r="I16" s="222">
        <f t="shared" si="6"/>
        <v>-67.739873421373517</v>
      </c>
      <c r="J16" s="223">
        <f t="shared" si="7"/>
        <v>-57.210390348968488</v>
      </c>
    </row>
    <row r="17" spans="1:11" x14ac:dyDescent="0.25">
      <c r="A17" s="404" t="s">
        <v>161</v>
      </c>
      <c r="B17" s="231">
        <f>Черн.!FH17</f>
        <v>4792.2264000000432</v>
      </c>
      <c r="C17" s="231">
        <f>Черн.!FI17</f>
        <v>2552.8753200000001</v>
      </c>
      <c r="D17" s="222">
        <f t="shared" si="3"/>
        <v>53.271175168184399</v>
      </c>
      <c r="E17" s="222">
        <f>Черн.!FJ17</f>
        <v>5522.2741099999985</v>
      </c>
      <c r="F17" s="222">
        <f>Черн.!FK17</f>
        <v>2900.0267699999999</v>
      </c>
      <c r="G17" s="222">
        <f t="shared" si="4"/>
        <v>52.515081870863533</v>
      </c>
      <c r="H17" s="222">
        <f t="shared" si="5"/>
        <v>15.233998752645505</v>
      </c>
      <c r="I17" s="222">
        <f t="shared" si="6"/>
        <v>13.598449061742656</v>
      </c>
      <c r="J17" s="223">
        <f t="shared" si="7"/>
        <v>-0.7560932973208665</v>
      </c>
    </row>
    <row r="18" spans="1:11" ht="26.4" x14ac:dyDescent="0.25">
      <c r="A18" s="404" t="s">
        <v>162</v>
      </c>
      <c r="B18" s="231">
        <f>Черн.!FH18</f>
        <v>9969.7847500000498</v>
      </c>
      <c r="C18" s="231">
        <f>Черн.!FI18</f>
        <v>7473.4609600000003</v>
      </c>
      <c r="D18" s="222">
        <f t="shared" si="3"/>
        <v>74.961106457187682</v>
      </c>
      <c r="E18" s="222">
        <f>Черн.!FJ18</f>
        <v>31789.861459999869</v>
      </c>
      <c r="F18" s="222">
        <f>Черн.!FK18</f>
        <v>5985.26433</v>
      </c>
      <c r="G18" s="222">
        <f t="shared" si="4"/>
        <v>18.827588593083554</v>
      </c>
      <c r="H18" s="469" t="s">
        <v>619</v>
      </c>
      <c r="I18" s="222">
        <f t="shared" si="6"/>
        <v>-19.913084954417158</v>
      </c>
      <c r="J18" s="223">
        <f t="shared" si="7"/>
        <v>-56.133517864104128</v>
      </c>
    </row>
    <row r="19" spans="1:11" ht="26.4" x14ac:dyDescent="0.25">
      <c r="A19" s="404" t="s">
        <v>163</v>
      </c>
      <c r="B19" s="231">
        <f>Черн.!FH19</f>
        <v>64102.290769999963</v>
      </c>
      <c r="C19" s="231">
        <f>Черн.!FI19</f>
        <v>60110.872230000001</v>
      </c>
      <c r="D19" s="152">
        <f t="shared" si="3"/>
        <v>93.773360527284055</v>
      </c>
      <c r="E19" s="222">
        <f>Черн.!FJ19</f>
        <v>260910.31439000013</v>
      </c>
      <c r="F19" s="222">
        <f>Черн.!FK19</f>
        <v>65050.940490000001</v>
      </c>
      <c r="G19" s="222">
        <f t="shared" si="4"/>
        <v>24.932299300657007</v>
      </c>
      <c r="H19" s="469" t="s">
        <v>674</v>
      </c>
      <c r="I19" s="222">
        <f t="shared" si="6"/>
        <v>8.2182608182726113</v>
      </c>
      <c r="J19" s="223">
        <f t="shared" si="7"/>
        <v>-68.841061226627048</v>
      </c>
    </row>
    <row r="20" spans="1:11" x14ac:dyDescent="0.25">
      <c r="A20" s="404" t="s">
        <v>164</v>
      </c>
      <c r="B20" s="231">
        <f>Черн.!FH20</f>
        <v>64722.554059999995</v>
      </c>
      <c r="C20" s="231">
        <f>Черн.!FI20</f>
        <v>22763.508709999998</v>
      </c>
      <c r="D20" s="222">
        <f t="shared" si="3"/>
        <v>35.170906093874876</v>
      </c>
      <c r="E20" s="222">
        <f>Черн.!FJ20</f>
        <v>50055.824400000274</v>
      </c>
      <c r="F20" s="222">
        <f>Черн.!FK20</f>
        <v>24248.764500000001</v>
      </c>
      <c r="G20" s="222">
        <f t="shared" si="4"/>
        <v>48.443442477794591</v>
      </c>
      <c r="H20" s="222">
        <f t="shared" si="5"/>
        <v>-22.660925349767822</v>
      </c>
      <c r="I20" s="222">
        <f t="shared" si="6"/>
        <v>6.5247225676924359</v>
      </c>
      <c r="J20" s="223">
        <f t="shared" si="7"/>
        <v>13.272536383919714</v>
      </c>
      <c r="K20" s="234">
        <f>F20-C20</f>
        <v>1485.2557900000029</v>
      </c>
    </row>
    <row r="21" spans="1:11" x14ac:dyDescent="0.25">
      <c r="A21" s="404" t="s">
        <v>165</v>
      </c>
      <c r="B21" s="231">
        <f>Черн.!FH21</f>
        <v>54012.988989999983</v>
      </c>
      <c r="C21" s="231">
        <f>Черн.!FI21</f>
        <v>12619.262009999999</v>
      </c>
      <c r="D21" s="222">
        <f t="shared" si="3"/>
        <v>23.363383967394103</v>
      </c>
      <c r="E21" s="222">
        <f>Черн.!FJ21</f>
        <v>24518.779140000232</v>
      </c>
      <c r="F21" s="222">
        <f>Черн.!FK21</f>
        <v>14763.49324</v>
      </c>
      <c r="G21" s="222">
        <f t="shared" si="4"/>
        <v>60.213003085111438</v>
      </c>
      <c r="H21" s="222">
        <f t="shared" si="5"/>
        <v>-54.605772429036172</v>
      </c>
      <c r="I21" s="222">
        <f t="shared" si="6"/>
        <v>16.991732387368046</v>
      </c>
      <c r="J21" s="223">
        <f t="shared" si="7"/>
        <v>36.849619117717339</v>
      </c>
    </row>
    <row r="22" spans="1:11" x14ac:dyDescent="0.25">
      <c r="A22" s="404" t="s">
        <v>166</v>
      </c>
      <c r="B22" s="231">
        <f>Черн.!FH22</f>
        <v>73038.367790000048</v>
      </c>
      <c r="C22" s="231">
        <f>Черн.!FI22</f>
        <v>41232.15438</v>
      </c>
      <c r="D22" s="222">
        <f t="shared" si="3"/>
        <v>56.4527324851381</v>
      </c>
      <c r="E22" s="222">
        <f>Черн.!FJ22</f>
        <v>77308.817289999686</v>
      </c>
      <c r="F22" s="222">
        <f>Черн.!FK22</f>
        <v>38452.333250000003</v>
      </c>
      <c r="G22" s="222">
        <f t="shared" si="4"/>
        <v>49.738612745501179</v>
      </c>
      <c r="H22" s="222">
        <f t="shared" si="5"/>
        <v>5.846857794355472</v>
      </c>
      <c r="I22" s="222">
        <f t="shared" si="6"/>
        <v>-6.7418769933311324</v>
      </c>
      <c r="J22" s="223">
        <f t="shared" si="7"/>
        <v>-6.7141197396369208</v>
      </c>
    </row>
    <row r="23" spans="1:11" x14ac:dyDescent="0.25">
      <c r="A23" s="404" t="s">
        <v>167</v>
      </c>
      <c r="B23" s="231">
        <f>Черн.!FH23</f>
        <v>74456.218200000003</v>
      </c>
      <c r="C23" s="231">
        <f>Черн.!FI23</f>
        <v>22827.812860000002</v>
      </c>
      <c r="D23" s="222">
        <f t="shared" si="3"/>
        <v>30.659377298322145</v>
      </c>
      <c r="E23" s="222">
        <f>Черн.!FJ23</f>
        <v>68474.080990000162</v>
      </c>
      <c r="F23" s="222">
        <f>Черн.!FK23</f>
        <v>15806.032279999999</v>
      </c>
      <c r="G23" s="222">
        <f t="shared" si="4"/>
        <v>23.083233906137835</v>
      </c>
      <c r="H23" s="222">
        <f t="shared" si="5"/>
        <v>-8.0344360143715079</v>
      </c>
      <c r="I23" s="222">
        <f t="shared" si="6"/>
        <v>-30.759760573926499</v>
      </c>
      <c r="J23" s="223">
        <f t="shared" si="7"/>
        <v>-7.57614339218431</v>
      </c>
    </row>
    <row r="24" spans="1:11" ht="26.4" x14ac:dyDescent="0.25">
      <c r="A24" s="404" t="s">
        <v>168</v>
      </c>
      <c r="B24" s="231">
        <f>Черн.!FH24</f>
        <v>122561.49818000011</v>
      </c>
      <c r="C24" s="231">
        <f>Черн.!FI24</f>
        <v>31694.511330000001</v>
      </c>
      <c r="D24" s="222">
        <f t="shared" si="3"/>
        <v>25.860088037967532</v>
      </c>
      <c r="E24" s="222">
        <f>Черн.!FJ24</f>
        <v>258008.92674000026</v>
      </c>
      <c r="F24" s="222">
        <f>Черн.!FK24</f>
        <v>32978.516640000002</v>
      </c>
      <c r="G24" s="222">
        <f t="shared" si="4"/>
        <v>12.781928538942758</v>
      </c>
      <c r="H24" s="469" t="s">
        <v>675</v>
      </c>
      <c r="I24" s="222">
        <f t="shared" si="6"/>
        <v>4.0511913770528594</v>
      </c>
      <c r="J24" s="223">
        <f t="shared" si="7"/>
        <v>-13.078159499024775</v>
      </c>
    </row>
    <row r="25" spans="1:11" x14ac:dyDescent="0.25">
      <c r="A25" s="404" t="s">
        <v>169</v>
      </c>
      <c r="B25" s="231">
        <f>Черн.!FH25</f>
        <v>43077.126439999789</v>
      </c>
      <c r="C25" s="231">
        <f>Черн.!FI25</f>
        <v>18291.034060000002</v>
      </c>
      <c r="D25" s="222">
        <f t="shared" si="3"/>
        <v>42.461128611902112</v>
      </c>
      <c r="E25" s="222">
        <f>Черн.!FJ25</f>
        <v>35879.432230000006</v>
      </c>
      <c r="F25" s="222">
        <f>Черн.!FK25</f>
        <v>19201.069459999999</v>
      </c>
      <c r="G25" s="222">
        <f t="shared" si="4"/>
        <v>53.515533180442404</v>
      </c>
      <c r="H25" s="222">
        <f t="shared" si="5"/>
        <v>-16.708854106192831</v>
      </c>
      <c r="I25" s="222">
        <f t="shared" si="6"/>
        <v>4.9753086513032088</v>
      </c>
      <c r="J25" s="223">
        <f t="shared" si="7"/>
        <v>11.054404568540292</v>
      </c>
    </row>
    <row r="26" spans="1:11" x14ac:dyDescent="0.25">
      <c r="A26" s="404" t="s">
        <v>170</v>
      </c>
      <c r="B26" s="231">
        <f>Черн.!FH26</f>
        <v>18257.031609999947</v>
      </c>
      <c r="C26" s="231">
        <f>Черн.!FI26</f>
        <v>9228.2856800000009</v>
      </c>
      <c r="D26" s="222">
        <f t="shared" si="3"/>
        <v>50.54647369370484</v>
      </c>
      <c r="E26" s="222">
        <f>Черн.!FJ26</f>
        <v>26168.989419999998</v>
      </c>
      <c r="F26" s="222">
        <f>Черн.!FK26</f>
        <v>7680.3602099999998</v>
      </c>
      <c r="G26" s="222">
        <f t="shared" si="4"/>
        <v>29.349089820526974</v>
      </c>
      <c r="H26" s="222">
        <f t="shared" si="5"/>
        <v>43.336496200545668</v>
      </c>
      <c r="I26" s="222">
        <f t="shared" si="6"/>
        <v>-16.773705579517781</v>
      </c>
      <c r="J26" s="223">
        <f t="shared" si="7"/>
        <v>-21.197383873177866</v>
      </c>
    </row>
    <row r="27" spans="1:11" x14ac:dyDescent="0.25">
      <c r="A27" s="404" t="s">
        <v>171</v>
      </c>
      <c r="B27" s="231">
        <f>Черн.!FH27</f>
        <v>3811449.8711800026</v>
      </c>
      <c r="C27" s="231">
        <f>Черн.!FI27</f>
        <v>1704058.3962099999</v>
      </c>
      <c r="D27" s="222">
        <f t="shared" si="3"/>
        <v>44.708928460403264</v>
      </c>
      <c r="E27" s="222">
        <f>Черн.!FJ27</f>
        <v>2616380.5683099991</v>
      </c>
      <c r="F27" s="222">
        <f>Черн.!FK27</f>
        <v>502820.86349999998</v>
      </c>
      <c r="G27" s="222">
        <f t="shared" si="4"/>
        <v>19.218185213200368</v>
      </c>
      <c r="H27" s="222">
        <f t="shared" si="5"/>
        <v>-31.354716532058632</v>
      </c>
      <c r="I27" s="222">
        <f t="shared" si="6"/>
        <v>-70.492744578570495</v>
      </c>
      <c r="J27" s="223">
        <f t="shared" si="7"/>
        <v>-25.490743247202897</v>
      </c>
    </row>
    <row r="28" spans="1:11" x14ac:dyDescent="0.25">
      <c r="A28" s="404" t="s">
        <v>172</v>
      </c>
      <c r="B28" s="231">
        <f>Черн.!FH28</f>
        <v>544066.6985299997</v>
      </c>
      <c r="C28" s="231">
        <f>Черн.!FI28</f>
        <v>173638.22446</v>
      </c>
      <c r="D28" s="222">
        <f t="shared" si="3"/>
        <v>31.914878254660469</v>
      </c>
      <c r="E28" s="222">
        <f>Черн.!FJ28</f>
        <v>398368.84265999962</v>
      </c>
      <c r="F28" s="222">
        <f>Черн.!FK28</f>
        <v>144965.56325000001</v>
      </c>
      <c r="G28" s="222">
        <f t="shared" si="4"/>
        <v>36.389784472608824</v>
      </c>
      <c r="H28" s="222">
        <f t="shared" si="5"/>
        <v>-26.779410734687033</v>
      </c>
      <c r="I28" s="222">
        <f t="shared" si="6"/>
        <v>-16.512873993712788</v>
      </c>
      <c r="J28" s="223">
        <f t="shared" si="7"/>
        <v>4.4749062179483552</v>
      </c>
    </row>
    <row r="29" spans="1:11" x14ac:dyDescent="0.25">
      <c r="A29" s="404" t="s">
        <v>173</v>
      </c>
      <c r="B29" s="231">
        <f>Черн.!FH29</f>
        <v>341622.83438999951</v>
      </c>
      <c r="C29" s="231">
        <f>Черн.!FI29</f>
        <v>75123.3217</v>
      </c>
      <c r="D29" s="222">
        <f t="shared" si="3"/>
        <v>21.990134773672235</v>
      </c>
      <c r="E29" s="222">
        <f>Черн.!FJ29</f>
        <v>662541.36447000015</v>
      </c>
      <c r="F29" s="222">
        <f>Черн.!FK29</f>
        <v>90342.513319999998</v>
      </c>
      <c r="G29" s="222">
        <f t="shared" si="4"/>
        <v>13.635754409427625</v>
      </c>
      <c r="H29" s="222">
        <f t="shared" si="5"/>
        <v>93.939426108044444</v>
      </c>
      <c r="I29" s="222">
        <f t="shared" si="6"/>
        <v>20.258943927928044</v>
      </c>
      <c r="J29" s="223">
        <f t="shared" si="7"/>
        <v>-8.3543803642446104</v>
      </c>
    </row>
    <row r="30" spans="1:11" x14ac:dyDescent="0.25">
      <c r="A30" s="404" t="s">
        <v>174</v>
      </c>
      <c r="B30" s="231">
        <f>Черн.!FH30</f>
        <v>42141.022000000114</v>
      </c>
      <c r="C30" s="231">
        <f>Черн.!FI30</f>
        <v>9565.7274899999993</v>
      </c>
      <c r="D30" s="222">
        <f t="shared" si="3"/>
        <v>22.699324876363875</v>
      </c>
      <c r="E30" s="222">
        <f>Черн.!FJ30</f>
        <v>39073.089840000204</v>
      </c>
      <c r="F30" s="222">
        <f>Черн.!FK30</f>
        <v>10047.480509999999</v>
      </c>
      <c r="G30" s="222">
        <f t="shared" si="4"/>
        <v>25.714578885732543</v>
      </c>
      <c r="H30" s="222">
        <f t="shared" si="5"/>
        <v>-7.2801560436761577</v>
      </c>
      <c r="I30" s="222">
        <f t="shared" si="6"/>
        <v>5.0362402703152895</v>
      </c>
      <c r="J30" s="223">
        <f t="shared" si="7"/>
        <v>3.0152540093686682</v>
      </c>
    </row>
    <row r="31" spans="1:11" x14ac:dyDescent="0.25">
      <c r="A31" s="404" t="s">
        <v>175</v>
      </c>
      <c r="B31" s="231">
        <f>Черн.!FH31</f>
        <v>16489.263510000201</v>
      </c>
      <c r="C31" s="231">
        <f>Черн.!FI31</f>
        <v>12075.07101</v>
      </c>
      <c r="D31" s="222">
        <f t="shared" si="3"/>
        <v>73.22989897442578</v>
      </c>
      <c r="E31" s="222">
        <f>Черн.!FJ31</f>
        <v>16149.253769999952</v>
      </c>
      <c r="F31" s="222">
        <f>Черн.!FK31</f>
        <v>13216.59267</v>
      </c>
      <c r="G31" s="222">
        <f t="shared" si="4"/>
        <v>81.840268647905688</v>
      </c>
      <c r="H31" s="222">
        <f t="shared" si="5"/>
        <v>-2.0620068312574631</v>
      </c>
      <c r="I31" s="222">
        <f t="shared" si="6"/>
        <v>9.4535399340893917</v>
      </c>
      <c r="J31" s="223">
        <f t="shared" si="7"/>
        <v>8.6103696734799087</v>
      </c>
    </row>
    <row r="32" spans="1:11" ht="26.4" x14ac:dyDescent="0.25">
      <c r="A32" s="404" t="s">
        <v>176</v>
      </c>
      <c r="B32" s="231">
        <f>Черн.!FH32</f>
        <v>86342.44579999987</v>
      </c>
      <c r="C32" s="231">
        <f>Черн.!FI32</f>
        <v>72100.28585</v>
      </c>
      <c r="D32" s="222">
        <f t="shared" si="3"/>
        <v>83.505030674032753</v>
      </c>
      <c r="E32" s="222">
        <f>Черн.!FJ32</f>
        <v>215043.42531999969</v>
      </c>
      <c r="F32" s="222">
        <f>Черн.!FK32</f>
        <v>19440.289840000001</v>
      </c>
      <c r="G32" s="222">
        <f t="shared" si="4"/>
        <v>9.0401693569898676</v>
      </c>
      <c r="H32" s="469" t="s">
        <v>676</v>
      </c>
      <c r="I32" s="222">
        <f t="shared" si="6"/>
        <v>-73.037152889456962</v>
      </c>
      <c r="J32" s="223">
        <f t="shared" si="7"/>
        <v>-74.464861317042889</v>
      </c>
    </row>
    <row r="33" spans="1:10" x14ac:dyDescent="0.25">
      <c r="A33" s="404" t="s">
        <v>177</v>
      </c>
      <c r="B33" s="231">
        <f>Черн.!FH33</f>
        <v>5782.5013399999989</v>
      </c>
      <c r="C33" s="231">
        <f>Черн.!FI33</f>
        <v>0</v>
      </c>
      <c r="D33" s="222">
        <f t="shared" si="3"/>
        <v>0</v>
      </c>
      <c r="E33" s="222">
        <f>Черн.!FJ33</f>
        <v>5623.996189999998</v>
      </c>
      <c r="F33" s="222">
        <f>Черн.!FK33</f>
        <v>0</v>
      </c>
      <c r="G33" s="222">
        <f t="shared" si="4"/>
        <v>0</v>
      </c>
      <c r="H33" s="222">
        <f t="shared" si="5"/>
        <v>-2.7411173933251689</v>
      </c>
      <c r="I33" s="222"/>
      <c r="J33" s="223">
        <f t="shared" si="7"/>
        <v>0</v>
      </c>
    </row>
    <row r="34" spans="1:10" s="247" customFormat="1" x14ac:dyDescent="0.25">
      <c r="A34" s="238" t="s">
        <v>178</v>
      </c>
      <c r="B34" s="239">
        <f>SUM(B8:B33)</f>
        <v>5834766.6854800014</v>
      </c>
      <c r="C34" s="239">
        <f t="shared" ref="C34:F34" si="8">SUM(C8:C33)</f>
        <v>2395429.9777000002</v>
      </c>
      <c r="D34" s="239">
        <f t="shared" ref="D34:D36" si="9">C34/B34%</f>
        <v>41.054426112034648</v>
      </c>
      <c r="E34" s="239">
        <f t="shared" si="8"/>
        <v>5213458.7993000001</v>
      </c>
      <c r="F34" s="239">
        <f t="shared" si="8"/>
        <v>1126523.9726199999</v>
      </c>
      <c r="G34" s="239">
        <f t="shared" ref="G34:G36" si="10">F34/E34%</f>
        <v>21.607996072995835</v>
      </c>
      <c r="H34" s="428">
        <f t="shared" ref="H34:H36" si="11">E34/B34%-100</f>
        <v>-10.648375842107711</v>
      </c>
      <c r="I34" s="239">
        <f t="shared" ref="I34:I36" si="12">F34/C34%-100</f>
        <v>-52.971951461438877</v>
      </c>
      <c r="J34" s="240">
        <f t="shared" ref="J34:J36" si="13">G34-D34</f>
        <v>-19.446430039038813</v>
      </c>
    </row>
    <row r="35" spans="1:10" x14ac:dyDescent="0.25">
      <c r="A35" s="404" t="s">
        <v>362</v>
      </c>
      <c r="B35" s="231">
        <f>Черн.!FH35</f>
        <v>90767607.616549999</v>
      </c>
      <c r="C35" s="231">
        <f>Черн.!FI35</f>
        <v>1627734.07544</v>
      </c>
      <c r="D35" s="231">
        <f t="shared" si="9"/>
        <v>1.7932984224024091</v>
      </c>
      <c r="E35" s="231">
        <f>Черн.!FJ35</f>
        <v>123150945.74005</v>
      </c>
      <c r="F35" s="231">
        <f>Черн.!FK35</f>
        <v>1027704.92203</v>
      </c>
      <c r="G35" s="231">
        <f t="shared" si="10"/>
        <v>0.83450834734091639</v>
      </c>
      <c r="H35" s="231">
        <f t="shared" si="11"/>
        <v>35.677196936052582</v>
      </c>
      <c r="I35" s="231">
        <f t="shared" si="12"/>
        <v>-36.862848942189984</v>
      </c>
      <c r="J35" s="405">
        <f t="shared" si="13"/>
        <v>-0.95879007506149272</v>
      </c>
    </row>
    <row r="36" spans="1:10" s="247" customFormat="1" ht="13.8" thickBot="1" x14ac:dyDescent="0.3">
      <c r="A36" s="241" t="s">
        <v>316</v>
      </c>
      <c r="B36" s="242">
        <f>Черн.!FH36</f>
        <v>96602374.302029997</v>
      </c>
      <c r="C36" s="242">
        <f>C34+C35</f>
        <v>4023164.0531400004</v>
      </c>
      <c r="D36" s="242">
        <f t="shared" si="9"/>
        <v>4.1646637385551903</v>
      </c>
      <c r="E36" s="242">
        <f>Черн.!FJ36</f>
        <v>128364404.53935</v>
      </c>
      <c r="F36" s="242">
        <f>F34+F35</f>
        <v>2154228.8946500001</v>
      </c>
      <c r="G36" s="242">
        <f t="shared" si="10"/>
        <v>1.6782136000869485</v>
      </c>
      <c r="H36" s="242">
        <f t="shared" si="11"/>
        <v>32.879140359444108</v>
      </c>
      <c r="I36" s="242">
        <f t="shared" si="12"/>
        <v>-46.454361139743561</v>
      </c>
      <c r="J36" s="243">
        <f t="shared" si="13"/>
        <v>-2.4864501384682418</v>
      </c>
    </row>
    <row r="37" spans="1:10" ht="13.8" thickTop="1" x14ac:dyDescent="0.25"/>
  </sheetData>
  <autoFilter ref="A7:J36"/>
  <mergeCells count="13">
    <mergeCell ref="G5:G6"/>
    <mergeCell ref="H5:H6"/>
    <mergeCell ref="J5:J6"/>
    <mergeCell ref="H1:J1"/>
    <mergeCell ref="A2:J2"/>
    <mergeCell ref="I3:J3"/>
    <mergeCell ref="A4:A6"/>
    <mergeCell ref="B4:D4"/>
    <mergeCell ref="E4:G4"/>
    <mergeCell ref="H4:J4"/>
    <mergeCell ref="B5:B6"/>
    <mergeCell ref="D5:D6"/>
    <mergeCell ref="E5:E6"/>
  </mergeCells>
  <conditionalFormatting sqref="B8:J36">
    <cfRule type="cellIs" dxfId="6" priority="1" operator="equal">
      <formula>0</formula>
    </cfRule>
  </conditionalFormatting>
  <printOptions horizontalCentered="1"/>
  <pageMargins left="0.59055118110236227" right="0" top="0.35433070866141736" bottom="0.35433070866141736" header="0.11811023622047245" footer="0.11811023622047245"/>
  <pageSetup paperSize="9" scale="84"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J37"/>
  <sheetViews>
    <sheetView zoomScale="130" zoomScaleNormal="130" workbookViewId="0">
      <pane xSplit="1" ySplit="7" topLeftCell="B34" activePane="bottomRight" state="frozen"/>
      <selection pane="topRight" activeCell="B1" sqref="B1"/>
      <selection pane="bottomLeft" activeCell="A8" sqref="A8"/>
      <selection pane="bottomRight" activeCell="C6" sqref="C6"/>
    </sheetView>
  </sheetViews>
  <sheetFormatPr defaultColWidth="9.109375" defaultRowHeight="13.2" x14ac:dyDescent="0.25"/>
  <cols>
    <col min="1" max="1" width="25.6640625" style="233" customWidth="1"/>
    <col min="2" max="2" width="12.33203125" style="234" bestFit="1" customWidth="1"/>
    <col min="3" max="3" width="9.6640625" style="234" bestFit="1" customWidth="1"/>
    <col min="4" max="4" width="9.109375" style="234"/>
    <col min="5" max="5" width="12.33203125" style="234" bestFit="1" customWidth="1"/>
    <col min="6" max="6" width="9.6640625" style="234" bestFit="1" customWidth="1"/>
    <col min="7" max="7" width="9.109375" style="234"/>
    <col min="8" max="8" width="9.6640625" style="234" customWidth="1"/>
    <col min="9" max="9" width="10" style="234" customWidth="1"/>
    <col min="10" max="16384" width="9.109375" style="234"/>
  </cols>
  <sheetData>
    <row r="1" spans="1:10" s="233" customFormat="1" ht="28.5" customHeight="1" x14ac:dyDescent="0.25">
      <c r="H1" s="1011" t="s">
        <v>359</v>
      </c>
      <c r="I1" s="1011"/>
      <c r="J1" s="1011"/>
    </row>
    <row r="2" spans="1:10" s="233" customFormat="1" ht="42" customHeight="1" x14ac:dyDescent="0.25">
      <c r="A2" s="1012" t="s">
        <v>2449</v>
      </c>
      <c r="B2" s="1012"/>
      <c r="C2" s="1012"/>
      <c r="D2" s="1012"/>
      <c r="E2" s="1012"/>
      <c r="F2" s="1012"/>
      <c r="G2" s="1012"/>
      <c r="H2" s="1012"/>
      <c r="I2" s="1012"/>
      <c r="J2" s="1012"/>
    </row>
    <row r="3" spans="1:10" s="233" customFormat="1" ht="13.8" thickBot="1" x14ac:dyDescent="0.3">
      <c r="I3" s="1015" t="s">
        <v>180</v>
      </c>
      <c r="J3" s="1015"/>
    </row>
    <row r="4" spans="1:10" s="246" customFormat="1" ht="13.5" customHeight="1" thickTop="1" x14ac:dyDescent="0.25">
      <c r="A4" s="977" t="s">
        <v>181</v>
      </c>
      <c r="B4" s="1013" t="s">
        <v>538</v>
      </c>
      <c r="C4" s="1013"/>
      <c r="D4" s="1013"/>
      <c r="E4" s="1013" t="s">
        <v>628</v>
      </c>
      <c r="F4" s="1013"/>
      <c r="G4" s="1013"/>
      <c r="H4" s="1013" t="s">
        <v>432</v>
      </c>
      <c r="I4" s="1013"/>
      <c r="J4" s="1014"/>
    </row>
    <row r="5" spans="1:10" s="246" customFormat="1" x14ac:dyDescent="0.25">
      <c r="A5" s="978"/>
      <c r="B5" s="1009" t="s">
        <v>186</v>
      </c>
      <c r="C5" s="270" t="s">
        <v>9</v>
      </c>
      <c r="D5" s="1009" t="s">
        <v>327</v>
      </c>
      <c r="E5" s="1009" t="s">
        <v>186</v>
      </c>
      <c r="F5" s="270" t="s">
        <v>9</v>
      </c>
      <c r="G5" s="1009" t="s">
        <v>327</v>
      </c>
      <c r="H5" s="1009" t="s">
        <v>569</v>
      </c>
      <c r="I5" s="270" t="s">
        <v>9</v>
      </c>
      <c r="J5" s="1010" t="s">
        <v>333</v>
      </c>
    </row>
    <row r="6" spans="1:10" s="246" customFormat="1" ht="53.25" customHeight="1" x14ac:dyDescent="0.25">
      <c r="A6" s="978"/>
      <c r="B6" s="1009"/>
      <c r="C6" s="270" t="s">
        <v>324</v>
      </c>
      <c r="D6" s="1009"/>
      <c r="E6" s="1009"/>
      <c r="F6" s="270" t="s">
        <v>324</v>
      </c>
      <c r="G6" s="1009"/>
      <c r="H6" s="1009"/>
      <c r="I6" s="270" t="s">
        <v>332</v>
      </c>
      <c r="J6" s="1010"/>
    </row>
    <row r="7" spans="1:10" s="203" customFormat="1" ht="10.199999999999999" x14ac:dyDescent="0.25">
      <c r="A7" s="187" t="s">
        <v>14</v>
      </c>
      <c r="B7" s="200">
        <v>1</v>
      </c>
      <c r="C7" s="200">
        <v>2</v>
      </c>
      <c r="D7" s="200" t="s">
        <v>328</v>
      </c>
      <c r="E7" s="200">
        <v>4</v>
      </c>
      <c r="F7" s="200">
        <v>5</v>
      </c>
      <c r="G7" s="200" t="s">
        <v>329</v>
      </c>
      <c r="H7" s="200" t="s">
        <v>330</v>
      </c>
      <c r="I7" s="200" t="s">
        <v>331</v>
      </c>
      <c r="J7" s="201" t="s">
        <v>218</v>
      </c>
    </row>
    <row r="8" spans="1:10" x14ac:dyDescent="0.25">
      <c r="A8" s="103" t="s">
        <v>152</v>
      </c>
      <c r="B8" s="231">
        <f>Черн.!IT8</f>
        <v>62296.707029999998</v>
      </c>
      <c r="C8" s="231">
        <f>Черн.!IU8</f>
        <v>4283.4483399999999</v>
      </c>
      <c r="D8" s="222">
        <f>C8/B8%</f>
        <v>6.875882441004844</v>
      </c>
      <c r="E8" s="222">
        <f>Черн.!IV8</f>
        <v>25496.327220000003</v>
      </c>
      <c r="F8" s="222">
        <f>Черн.!IW8</f>
        <v>12.487019999999999</v>
      </c>
      <c r="G8" s="222">
        <f>F8/E8%</f>
        <v>4.8975759889859138E-2</v>
      </c>
      <c r="H8" s="222">
        <f>E8/B8%-100</f>
        <v>-59.072752902136813</v>
      </c>
      <c r="I8" s="222">
        <f>F8/C8%-100</f>
        <v>-99.70848206844488</v>
      </c>
      <c r="J8" s="223">
        <f>G8-D8</f>
        <v>-6.826906681114985</v>
      </c>
    </row>
    <row r="9" spans="1:10" x14ac:dyDescent="0.25">
      <c r="A9" s="103" t="s">
        <v>153</v>
      </c>
      <c r="B9" s="231">
        <f>Черн.!IT9</f>
        <v>5621.9100899999994</v>
      </c>
      <c r="C9" s="231">
        <f>Черн.!IU9</f>
        <v>0</v>
      </c>
      <c r="D9" s="222">
        <f t="shared" ref="D9:D35" si="0">C9/B9%</f>
        <v>0</v>
      </c>
      <c r="E9" s="222">
        <f>Черн.!IV9</f>
        <v>5443.6735600000002</v>
      </c>
      <c r="F9" s="222">
        <f>Черн.!IW9</f>
        <v>0</v>
      </c>
      <c r="G9" s="222">
        <f t="shared" ref="G9:G33" si="1">F9/E9%</f>
        <v>0</v>
      </c>
      <c r="H9" s="222">
        <f t="shared" ref="H9:H33" si="2">E9/B9%-100</f>
        <v>-3.1703909729370849</v>
      </c>
      <c r="I9" s="222"/>
      <c r="J9" s="223">
        <f t="shared" ref="J9:J33" si="3">G9-D9</f>
        <v>0</v>
      </c>
    </row>
    <row r="10" spans="1:10" x14ac:dyDescent="0.25">
      <c r="A10" s="103" t="s">
        <v>154</v>
      </c>
      <c r="B10" s="231">
        <f>Черн.!IT10</f>
        <v>6760.8038399999996</v>
      </c>
      <c r="C10" s="231">
        <f>Черн.!IU10</f>
        <v>0</v>
      </c>
      <c r="D10" s="222">
        <f t="shared" si="0"/>
        <v>0</v>
      </c>
      <c r="E10" s="222">
        <f>Черн.!IV10</f>
        <v>24813.30588</v>
      </c>
      <c r="F10" s="222">
        <f>Черн.!IW10</f>
        <v>0</v>
      </c>
      <c r="G10" s="222">
        <f t="shared" si="1"/>
        <v>0</v>
      </c>
      <c r="H10" s="469" t="s">
        <v>701</v>
      </c>
      <c r="I10" s="222"/>
      <c r="J10" s="223">
        <f t="shared" si="3"/>
        <v>0</v>
      </c>
    </row>
    <row r="11" spans="1:10" x14ac:dyDescent="0.25">
      <c r="A11" s="103" t="s">
        <v>155</v>
      </c>
      <c r="B11" s="231">
        <f>Черн.!IT11</f>
        <v>5078.3171600000005</v>
      </c>
      <c r="C11" s="231">
        <f>Черн.!IU11</f>
        <v>0</v>
      </c>
      <c r="D11" s="222">
        <f t="shared" si="0"/>
        <v>0</v>
      </c>
      <c r="E11" s="222">
        <f>Черн.!IV11</f>
        <v>5831.3901599999999</v>
      </c>
      <c r="F11" s="222">
        <f>Черн.!IW11</f>
        <v>0</v>
      </c>
      <c r="G11" s="222">
        <f t="shared" si="1"/>
        <v>0</v>
      </c>
      <c r="H11" s="222">
        <f t="shared" si="2"/>
        <v>14.82918408349272</v>
      </c>
      <c r="I11" s="222"/>
      <c r="J11" s="223">
        <f t="shared" si="3"/>
        <v>0</v>
      </c>
    </row>
    <row r="12" spans="1:10" x14ac:dyDescent="0.25">
      <c r="A12" s="103" t="s">
        <v>156</v>
      </c>
      <c r="B12" s="231">
        <f>Черн.!IT12</f>
        <v>14785.696889999999</v>
      </c>
      <c r="C12" s="231">
        <f>Черн.!IU12</f>
        <v>1476.6486</v>
      </c>
      <c r="D12" s="222">
        <f t="shared" si="0"/>
        <v>9.9870071122498167</v>
      </c>
      <c r="E12" s="222">
        <f>Черн.!IV12</f>
        <v>24370.384099999999</v>
      </c>
      <c r="F12" s="222">
        <f>Черн.!IW12</f>
        <v>5.9223400000000002</v>
      </c>
      <c r="G12" s="152">
        <f t="shared" si="1"/>
        <v>2.4301381446015045E-2</v>
      </c>
      <c r="H12" s="222">
        <f t="shared" si="2"/>
        <v>64.824047735500415</v>
      </c>
      <c r="I12" s="222">
        <f t="shared" ref="I12:I27" si="4">F12/C12%-100</f>
        <v>-99.598933693500271</v>
      </c>
      <c r="J12" s="223">
        <f t="shared" si="3"/>
        <v>-9.9627057308038012</v>
      </c>
    </row>
    <row r="13" spans="1:10" x14ac:dyDescent="0.25">
      <c r="A13" s="103" t="s">
        <v>157</v>
      </c>
      <c r="B13" s="231">
        <f>Черн.!IT13</f>
        <v>28291.363909999996</v>
      </c>
      <c r="C13" s="231">
        <f>Черн.!IU13</f>
        <v>10183.287700000001</v>
      </c>
      <c r="D13" s="222">
        <f t="shared" si="0"/>
        <v>35.994332872727178</v>
      </c>
      <c r="E13" s="222">
        <f>Черн.!IV13</f>
        <v>18951.585499999997</v>
      </c>
      <c r="F13" s="222">
        <f>Черн.!IW13</f>
        <v>6365.8887699999996</v>
      </c>
      <c r="G13" s="222">
        <f t="shared" si="1"/>
        <v>33.590270164994905</v>
      </c>
      <c r="H13" s="222">
        <f t="shared" si="2"/>
        <v>-33.012824831321467</v>
      </c>
      <c r="I13" s="222">
        <f t="shared" si="4"/>
        <v>-37.486900522313647</v>
      </c>
      <c r="J13" s="223">
        <f t="shared" si="3"/>
        <v>-2.4040627077322725</v>
      </c>
    </row>
    <row r="14" spans="1:10" x14ac:dyDescent="0.25">
      <c r="A14" s="103" t="s">
        <v>158</v>
      </c>
      <c r="B14" s="231">
        <f>Черн.!IT14</f>
        <v>25470.86189</v>
      </c>
      <c r="C14" s="231">
        <f>Черн.!IU14</f>
        <v>10557.56472</v>
      </c>
      <c r="D14" s="152">
        <f t="shared" si="0"/>
        <v>41.449577817957383</v>
      </c>
      <c r="E14" s="222">
        <f>Черн.!IV14</f>
        <v>22947.700260000001</v>
      </c>
      <c r="F14" s="222">
        <f>Черн.!IW14</f>
        <v>6159.7881200000002</v>
      </c>
      <c r="G14" s="222">
        <f t="shared" si="1"/>
        <v>26.842725197771081</v>
      </c>
      <c r="H14" s="222">
        <f t="shared" si="2"/>
        <v>-9.9060708699088309</v>
      </c>
      <c r="I14" s="222">
        <f t="shared" si="4"/>
        <v>-41.6552180037216</v>
      </c>
      <c r="J14" s="223">
        <f t="shared" si="3"/>
        <v>-14.606852620186302</v>
      </c>
    </row>
    <row r="15" spans="1:10" x14ac:dyDescent="0.25">
      <c r="A15" s="103" t="s">
        <v>159</v>
      </c>
      <c r="B15" s="231">
        <f>Черн.!IT15</f>
        <v>5624.6877599999998</v>
      </c>
      <c r="C15" s="231">
        <f>Черн.!IU15</f>
        <v>0</v>
      </c>
      <c r="D15" s="222">
        <f t="shared" si="0"/>
        <v>0</v>
      </c>
      <c r="E15" s="222">
        <f>Черн.!IV15</f>
        <v>3880.3686500000003</v>
      </c>
      <c r="F15" s="222">
        <f>Черн.!IW15</f>
        <v>0</v>
      </c>
      <c r="G15" s="222">
        <f t="shared" si="1"/>
        <v>0</v>
      </c>
      <c r="H15" s="222">
        <f t="shared" si="2"/>
        <v>-31.011838957617087</v>
      </c>
      <c r="I15" s="222"/>
      <c r="J15" s="223">
        <f t="shared" si="3"/>
        <v>0</v>
      </c>
    </row>
    <row r="16" spans="1:10" x14ac:dyDescent="0.25">
      <c r="A16" s="103" t="s">
        <v>160</v>
      </c>
      <c r="B16" s="231">
        <f>Черн.!IT16</f>
        <v>10909.470300000001</v>
      </c>
      <c r="C16" s="231">
        <f>Черн.!IU16</f>
        <v>4432.4705899999999</v>
      </c>
      <c r="D16" s="152">
        <f t="shared" si="0"/>
        <v>40.629567413552607</v>
      </c>
      <c r="E16" s="222">
        <f>Черн.!IV16</f>
        <v>7317.4132300000001</v>
      </c>
      <c r="F16" s="222">
        <f>Черн.!IW16</f>
        <v>240.58280999999999</v>
      </c>
      <c r="G16" s="152">
        <f t="shared" si="1"/>
        <v>3.2878122696919223</v>
      </c>
      <c r="H16" s="222">
        <f t="shared" si="2"/>
        <v>-32.926044722812989</v>
      </c>
      <c r="I16" s="222">
        <f t="shared" si="4"/>
        <v>-94.572263817321797</v>
      </c>
      <c r="J16" s="223">
        <f t="shared" si="3"/>
        <v>-37.341755143860688</v>
      </c>
    </row>
    <row r="17" spans="1:10" x14ac:dyDescent="0.25">
      <c r="A17" s="103" t="s">
        <v>161</v>
      </c>
      <c r="B17" s="231">
        <f>Черн.!IT17</f>
        <v>5765.3153799999991</v>
      </c>
      <c r="C17" s="231">
        <f>Черн.!IU17</f>
        <v>0</v>
      </c>
      <c r="D17" s="222">
        <f t="shared" si="0"/>
        <v>0</v>
      </c>
      <c r="E17" s="222">
        <f>Черн.!IV17</f>
        <v>4776.9948199999999</v>
      </c>
      <c r="F17" s="222">
        <f>Черн.!IW17</f>
        <v>0</v>
      </c>
      <c r="G17" s="222">
        <f t="shared" si="1"/>
        <v>0</v>
      </c>
      <c r="H17" s="222">
        <f t="shared" si="2"/>
        <v>-17.142523779852596</v>
      </c>
      <c r="I17" s="222"/>
      <c r="J17" s="223">
        <f t="shared" si="3"/>
        <v>0</v>
      </c>
    </row>
    <row r="18" spans="1:10" x14ac:dyDescent="0.25">
      <c r="A18" s="103" t="s">
        <v>162</v>
      </c>
      <c r="B18" s="231">
        <f>Черн.!IT18</f>
        <v>12765.128489999999</v>
      </c>
      <c r="C18" s="231">
        <f>Черн.!IU18</f>
        <v>2028.9958499999998</v>
      </c>
      <c r="D18" s="222">
        <f t="shared" si="0"/>
        <v>15.894832955183203</v>
      </c>
      <c r="E18" s="222">
        <f>Черн.!IV18</f>
        <v>11241.437910000001</v>
      </c>
      <c r="F18" s="222">
        <f>Черн.!IW18</f>
        <v>2095.9237899999998</v>
      </c>
      <c r="G18" s="222">
        <f t="shared" si="1"/>
        <v>18.644623639610529</v>
      </c>
      <c r="H18" s="222">
        <f t="shared" si="2"/>
        <v>-11.93635129637461</v>
      </c>
      <c r="I18" s="222">
        <f t="shared" si="4"/>
        <v>3.2985745140878464</v>
      </c>
      <c r="J18" s="223">
        <f t="shared" si="3"/>
        <v>2.7497906844273263</v>
      </c>
    </row>
    <row r="19" spans="1:10" x14ac:dyDescent="0.25">
      <c r="A19" s="103" t="s">
        <v>163</v>
      </c>
      <c r="B19" s="231">
        <f>Черн.!IT19</f>
        <v>11486.51326</v>
      </c>
      <c r="C19" s="231">
        <f>Черн.!IU19</f>
        <v>1002.79221</v>
      </c>
      <c r="D19" s="222">
        <f t="shared" si="0"/>
        <v>8.7301706558078696</v>
      </c>
      <c r="E19" s="222">
        <f>Черн.!IV19</f>
        <v>10743.767959999999</v>
      </c>
      <c r="F19" s="222">
        <f>Черн.!IW19</f>
        <v>0</v>
      </c>
      <c r="G19" s="222">
        <f t="shared" si="1"/>
        <v>0</v>
      </c>
      <c r="H19" s="222">
        <f t="shared" si="2"/>
        <v>-6.4662381280357408</v>
      </c>
      <c r="I19" s="222">
        <f t="shared" si="4"/>
        <v>-100</v>
      </c>
      <c r="J19" s="223">
        <f t="shared" si="3"/>
        <v>-8.7301706558078696</v>
      </c>
    </row>
    <row r="20" spans="1:10" x14ac:dyDescent="0.25">
      <c r="A20" s="103" t="s">
        <v>164</v>
      </c>
      <c r="B20" s="231">
        <f>Черн.!IT20</f>
        <v>17165.861290000001</v>
      </c>
      <c r="C20" s="231">
        <f>Черн.!IU20</f>
        <v>301.46201000000002</v>
      </c>
      <c r="D20" s="222">
        <f t="shared" si="0"/>
        <v>1.7561717696951051</v>
      </c>
      <c r="E20" s="222">
        <f>Черн.!IV20</f>
        <v>70770.121620000005</v>
      </c>
      <c r="F20" s="222">
        <f>Черн.!IW20</f>
        <v>1659.63903</v>
      </c>
      <c r="G20" s="222">
        <f t="shared" si="1"/>
        <v>2.3451125870765459</v>
      </c>
      <c r="H20" s="469" t="s">
        <v>674</v>
      </c>
      <c r="I20" s="469" t="s">
        <v>700</v>
      </c>
      <c r="J20" s="223">
        <f t="shared" si="3"/>
        <v>0.58894081738144077</v>
      </c>
    </row>
    <row r="21" spans="1:10" x14ac:dyDescent="0.25">
      <c r="A21" s="103" t="s">
        <v>165</v>
      </c>
      <c r="B21" s="231">
        <f>Черн.!IT21</f>
        <v>10956.714529999999</v>
      </c>
      <c r="C21" s="231">
        <f>Черн.!IU21</f>
        <v>0</v>
      </c>
      <c r="D21" s="222">
        <f t="shared" si="0"/>
        <v>0</v>
      </c>
      <c r="E21" s="222">
        <f>Черн.!IV21</f>
        <v>7594.0701699999991</v>
      </c>
      <c r="F21" s="222">
        <f>Черн.!IW21</f>
        <v>0</v>
      </c>
      <c r="G21" s="222">
        <f t="shared" si="1"/>
        <v>0</v>
      </c>
      <c r="H21" s="222">
        <f t="shared" si="2"/>
        <v>-30.690261672811886</v>
      </c>
      <c r="I21" s="222"/>
      <c r="J21" s="223">
        <f t="shared" si="3"/>
        <v>0</v>
      </c>
    </row>
    <row r="22" spans="1:10" x14ac:dyDescent="0.25">
      <c r="A22" s="103" t="s">
        <v>166</v>
      </c>
      <c r="B22" s="231">
        <f>Черн.!IT22</f>
        <v>105920.44163</v>
      </c>
      <c r="C22" s="231">
        <f>Черн.!IU22</f>
        <v>11609.995849999999</v>
      </c>
      <c r="D22" s="222">
        <f t="shared" si="0"/>
        <v>10.961053099226961</v>
      </c>
      <c r="E22" s="222">
        <f>Черн.!IV22</f>
        <v>98743.194730000003</v>
      </c>
      <c r="F22" s="222">
        <f>Черн.!IW22</f>
        <v>7451.6330500000004</v>
      </c>
      <c r="G22" s="222">
        <f t="shared" si="1"/>
        <v>7.5464775778983952</v>
      </c>
      <c r="H22" s="222">
        <f t="shared" si="2"/>
        <v>-6.7760734278955113</v>
      </c>
      <c r="I22" s="222">
        <f t="shared" si="4"/>
        <v>-35.817091183542502</v>
      </c>
      <c r="J22" s="223">
        <f t="shared" si="3"/>
        <v>-3.4145755213285653</v>
      </c>
    </row>
    <row r="23" spans="1:10" x14ac:dyDescent="0.25">
      <c r="A23" s="103" t="s">
        <v>167</v>
      </c>
      <c r="B23" s="231">
        <f>Черн.!IT23</f>
        <v>29191.484960000002</v>
      </c>
      <c r="C23" s="231">
        <f>Черн.!IU23</f>
        <v>3638.9629199999999</v>
      </c>
      <c r="D23" s="222">
        <f t="shared" si="0"/>
        <v>12.465836955490049</v>
      </c>
      <c r="E23" s="222">
        <f>Черн.!IV23</f>
        <v>24123.336460000002</v>
      </c>
      <c r="F23" s="222">
        <f>Черн.!IW23</f>
        <v>3638.9629199999999</v>
      </c>
      <c r="G23" s="222">
        <f t="shared" si="1"/>
        <v>15.084824298802653</v>
      </c>
      <c r="H23" s="222">
        <f t="shared" si="2"/>
        <v>-17.361735817635505</v>
      </c>
      <c r="I23" s="222">
        <f t="shared" si="4"/>
        <v>0</v>
      </c>
      <c r="J23" s="223">
        <f t="shared" si="3"/>
        <v>2.6189873433126039</v>
      </c>
    </row>
    <row r="24" spans="1:10" x14ac:dyDescent="0.25">
      <c r="A24" s="103" t="s">
        <v>168</v>
      </c>
      <c r="B24" s="231">
        <f>Черн.!IT24</f>
        <v>54140.984510000002</v>
      </c>
      <c r="C24" s="231">
        <f>Черн.!IU24</f>
        <v>79.667019999999994</v>
      </c>
      <c r="D24" s="222">
        <f t="shared" si="0"/>
        <v>0.14714734266659901</v>
      </c>
      <c r="E24" s="222">
        <f>Черн.!IV24</f>
        <v>16591.824400000001</v>
      </c>
      <c r="F24" s="222">
        <f>Черн.!IW24</f>
        <v>73.598100000000002</v>
      </c>
      <c r="G24" s="222">
        <f t="shared" si="1"/>
        <v>0.44358051426821993</v>
      </c>
      <c r="H24" s="222">
        <f t="shared" si="2"/>
        <v>-69.354409510348958</v>
      </c>
      <c r="I24" s="222">
        <f t="shared" si="4"/>
        <v>-7.6178574270758332</v>
      </c>
      <c r="J24" s="223">
        <f t="shared" si="3"/>
        <v>0.29643317160162092</v>
      </c>
    </row>
    <row r="25" spans="1:10" x14ac:dyDescent="0.25">
      <c r="A25" s="103" t="s">
        <v>169</v>
      </c>
      <c r="B25" s="231">
        <f>Черн.!IT25</f>
        <v>11961.241900000001</v>
      </c>
      <c r="C25" s="231">
        <f>Черн.!IU25</f>
        <v>0</v>
      </c>
      <c r="D25" s="222">
        <f t="shared" si="0"/>
        <v>0</v>
      </c>
      <c r="E25" s="222">
        <f>Черн.!IV25</f>
        <v>26711.983609999999</v>
      </c>
      <c r="F25" s="222">
        <f>Черн.!IW25</f>
        <v>0</v>
      </c>
      <c r="G25" s="222">
        <f t="shared" si="1"/>
        <v>0</v>
      </c>
      <c r="H25" s="469" t="s">
        <v>603</v>
      </c>
      <c r="I25" s="222"/>
      <c r="J25" s="223">
        <f t="shared" si="3"/>
        <v>0</v>
      </c>
    </row>
    <row r="26" spans="1:10" x14ac:dyDescent="0.25">
      <c r="A26" s="103" t="s">
        <v>170</v>
      </c>
      <c r="B26" s="231">
        <f>Черн.!IT26</f>
        <v>6083.8021899999985</v>
      </c>
      <c r="C26" s="231">
        <f>Черн.!IU26</f>
        <v>0</v>
      </c>
      <c r="D26" s="222">
        <f t="shared" si="0"/>
        <v>0</v>
      </c>
      <c r="E26" s="222">
        <f>Черн.!IV26</f>
        <v>6544.2101500000008</v>
      </c>
      <c r="F26" s="222">
        <f>Черн.!IW26</f>
        <v>9.1499999999999998E-2</v>
      </c>
      <c r="G26" s="222">
        <f t="shared" si="1"/>
        <v>1.398182483488859E-3</v>
      </c>
      <c r="H26" s="222">
        <f t="shared" si="2"/>
        <v>7.5677667619893896</v>
      </c>
      <c r="I26" s="222"/>
      <c r="J26" s="223">
        <f t="shared" si="3"/>
        <v>1.398182483488859E-3</v>
      </c>
    </row>
    <row r="27" spans="1:10" x14ac:dyDescent="0.25">
      <c r="A27" s="103" t="s">
        <v>171</v>
      </c>
      <c r="B27" s="231">
        <f>Черн.!IT27</f>
        <v>205555.58854</v>
      </c>
      <c r="C27" s="231">
        <f>Черн.!IU27</f>
        <v>1380.6904999999999</v>
      </c>
      <c r="D27" s="222">
        <f t="shared" si="0"/>
        <v>0.67168716248808047</v>
      </c>
      <c r="E27" s="222">
        <f>Черн.!IV27</f>
        <v>245339.41950999998</v>
      </c>
      <c r="F27" s="222">
        <f>Черн.!IW27</f>
        <v>64.650980000000004</v>
      </c>
      <c r="G27" s="222">
        <f t="shared" si="1"/>
        <v>2.6351647904410587E-2</v>
      </c>
      <c r="H27" s="222">
        <f t="shared" si="2"/>
        <v>19.354293041883537</v>
      </c>
      <c r="I27" s="222">
        <f t="shared" si="4"/>
        <v>-95.317489328709073</v>
      </c>
      <c r="J27" s="223">
        <f t="shared" si="3"/>
        <v>-0.64533551458366989</v>
      </c>
    </row>
    <row r="28" spans="1:10" x14ac:dyDescent="0.25">
      <c r="A28" s="103" t="s">
        <v>172</v>
      </c>
      <c r="B28" s="231">
        <f>Черн.!IT28</f>
        <v>177032.60821999999</v>
      </c>
      <c r="C28" s="231">
        <f>Черн.!IU28</f>
        <v>0</v>
      </c>
      <c r="D28" s="222">
        <f t="shared" si="0"/>
        <v>0</v>
      </c>
      <c r="E28" s="222">
        <f>Черн.!IV28</f>
        <v>107880.32961999999</v>
      </c>
      <c r="F28" s="222">
        <f>Черн.!IW28</f>
        <v>0</v>
      </c>
      <c r="G28" s="222">
        <f t="shared" si="1"/>
        <v>0</v>
      </c>
      <c r="H28" s="222">
        <f t="shared" si="2"/>
        <v>-39.061887691370316</v>
      </c>
      <c r="I28" s="222"/>
      <c r="J28" s="223">
        <f t="shared" si="3"/>
        <v>0</v>
      </c>
    </row>
    <row r="29" spans="1:10" x14ac:dyDescent="0.25">
      <c r="A29" s="103" t="s">
        <v>173</v>
      </c>
      <c r="B29" s="231">
        <f>Черн.!IT29</f>
        <v>52234.457519999996</v>
      </c>
      <c r="C29" s="231">
        <f>Черн.!IU29</f>
        <v>0</v>
      </c>
      <c r="D29" s="222">
        <f t="shared" si="0"/>
        <v>0</v>
      </c>
      <c r="E29" s="222">
        <f>Черн.!IV29</f>
        <v>43964.2215</v>
      </c>
      <c r="F29" s="222">
        <f>Черн.!IW29</f>
        <v>2.1700000000000001E-3</v>
      </c>
      <c r="G29" s="222">
        <f t="shared" si="1"/>
        <v>4.9358317421815374E-6</v>
      </c>
      <c r="H29" s="222">
        <f t="shared" si="2"/>
        <v>-15.832912626370089</v>
      </c>
      <c r="I29" s="222"/>
      <c r="J29" s="223">
        <f t="shared" si="3"/>
        <v>4.9358317421815374E-6</v>
      </c>
    </row>
    <row r="30" spans="1:10" x14ac:dyDescent="0.25">
      <c r="A30" s="103" t="s">
        <v>174</v>
      </c>
      <c r="B30" s="231">
        <f>Черн.!IT30</f>
        <v>51730.921199999997</v>
      </c>
      <c r="C30" s="231">
        <f>Черн.!IU30</f>
        <v>0</v>
      </c>
      <c r="D30" s="222">
        <f t="shared" si="0"/>
        <v>0</v>
      </c>
      <c r="E30" s="222">
        <f>Черн.!IV30</f>
        <v>24234.233060000002</v>
      </c>
      <c r="F30" s="222">
        <f>Черн.!IW30</f>
        <v>0</v>
      </c>
      <c r="G30" s="222">
        <f t="shared" si="1"/>
        <v>0</v>
      </c>
      <c r="H30" s="222">
        <f t="shared" si="2"/>
        <v>-53.153293044392953</v>
      </c>
      <c r="I30" s="222"/>
      <c r="J30" s="223">
        <f t="shared" si="3"/>
        <v>0</v>
      </c>
    </row>
    <row r="31" spans="1:10" x14ac:dyDescent="0.25">
      <c r="A31" s="103" t="s">
        <v>175</v>
      </c>
      <c r="B31" s="231">
        <f>Черн.!IT31</f>
        <v>35205.701939999999</v>
      </c>
      <c r="C31" s="231">
        <f>Черн.!IU31</f>
        <v>0</v>
      </c>
      <c r="D31" s="222">
        <f t="shared" si="0"/>
        <v>0</v>
      </c>
      <c r="E31" s="222">
        <f>Черн.!IV31</f>
        <v>12343.93642</v>
      </c>
      <c r="F31" s="222">
        <f>Черн.!IW31</f>
        <v>0</v>
      </c>
      <c r="G31" s="222">
        <f t="shared" si="1"/>
        <v>0</v>
      </c>
      <c r="H31" s="222">
        <f t="shared" si="2"/>
        <v>-64.937678444709348</v>
      </c>
      <c r="I31" s="222"/>
      <c r="J31" s="223">
        <f t="shared" si="3"/>
        <v>0</v>
      </c>
    </row>
    <row r="32" spans="1:10" x14ac:dyDescent="0.25">
      <c r="A32" s="103" t="s">
        <v>176</v>
      </c>
      <c r="B32" s="231">
        <f>Черн.!IT32</f>
        <v>24833.539430000001</v>
      </c>
      <c r="C32" s="231">
        <f>Черн.!IU32</f>
        <v>0</v>
      </c>
      <c r="D32" s="222">
        <f t="shared" si="0"/>
        <v>0</v>
      </c>
      <c r="E32" s="222">
        <f>Черн.!IV32</f>
        <v>15933.168439999999</v>
      </c>
      <c r="F32" s="222">
        <f>Черн.!IW32</f>
        <v>0</v>
      </c>
      <c r="G32" s="222">
        <f t="shared" si="1"/>
        <v>0</v>
      </c>
      <c r="H32" s="222">
        <f t="shared" si="2"/>
        <v>-35.840122649806275</v>
      </c>
      <c r="I32" s="222"/>
      <c r="J32" s="223">
        <f t="shared" si="3"/>
        <v>0</v>
      </c>
    </row>
    <row r="33" spans="1:10" x14ac:dyDescent="0.25">
      <c r="A33" s="103" t="s">
        <v>177</v>
      </c>
      <c r="B33" s="231">
        <f>Черн.!IT33</f>
        <v>1481.2471499999999</v>
      </c>
      <c r="C33" s="231">
        <f>Черн.!IU33</f>
        <v>0</v>
      </c>
      <c r="D33" s="222">
        <f t="shared" si="0"/>
        <v>0</v>
      </c>
      <c r="E33" s="222">
        <f>Черн.!IV33</f>
        <v>962.84614999999997</v>
      </c>
      <c r="F33" s="222">
        <f>Черн.!IW33</f>
        <v>0</v>
      </c>
      <c r="G33" s="222">
        <f t="shared" si="1"/>
        <v>0</v>
      </c>
      <c r="H33" s="222">
        <f t="shared" si="2"/>
        <v>-34.997603202139487</v>
      </c>
      <c r="I33" s="222"/>
      <c r="J33" s="223">
        <f t="shared" si="3"/>
        <v>0</v>
      </c>
    </row>
    <row r="34" spans="1:10" s="247" customFormat="1" x14ac:dyDescent="0.25">
      <c r="A34" s="238" t="s">
        <v>178</v>
      </c>
      <c r="B34" s="239">
        <f>SUM(B8:B33)</f>
        <v>978351.37100999977</v>
      </c>
      <c r="C34" s="239">
        <f>SUM(C8:C33)</f>
        <v>50975.98631</v>
      </c>
      <c r="D34" s="239">
        <f t="shared" ref="D34:D36" si="5">C34/B34%</f>
        <v>5.2103965733062756</v>
      </c>
      <c r="E34" s="239">
        <f>SUM(E8:E33)</f>
        <v>867551.24508999998</v>
      </c>
      <c r="F34" s="239">
        <f>SUM(F8:F33)</f>
        <v>27769.170599999998</v>
      </c>
      <c r="G34" s="239">
        <f t="shared" ref="G34" si="6">F34/E34%</f>
        <v>3.2008680475260243</v>
      </c>
      <c r="H34" s="239">
        <f t="shared" ref="H34:H36" si="7">E34/B34%-100</f>
        <v>-11.325187371651097</v>
      </c>
      <c r="I34" s="239">
        <f t="shared" ref="I34:I36" si="8">F34/C34%-100</f>
        <v>-45.524995963535687</v>
      </c>
      <c r="J34" s="240">
        <f t="shared" ref="J34:J36" si="9">G34-D34</f>
        <v>-2.0095285257802513</v>
      </c>
    </row>
    <row r="35" spans="1:10" s="228" customFormat="1" x14ac:dyDescent="0.25">
      <c r="A35" s="230" t="s">
        <v>362</v>
      </c>
      <c r="B35" s="42">
        <f>Черн.!IT35</f>
        <v>12512646.00419</v>
      </c>
      <c r="C35" s="190">
        <f>Черн.!IU35</f>
        <v>0</v>
      </c>
      <c r="D35" s="190">
        <f t="shared" si="0"/>
        <v>0</v>
      </c>
      <c r="E35" s="190">
        <f>Черн.!IV35</f>
        <v>18477543.46266</v>
      </c>
      <c r="F35" s="190">
        <v>0</v>
      </c>
      <c r="G35" s="190">
        <f t="shared" ref="G35" si="10">F35/E35%</f>
        <v>0</v>
      </c>
      <c r="H35" s="190">
        <f t="shared" si="7"/>
        <v>47.670951903159306</v>
      </c>
      <c r="I35" s="402"/>
      <c r="J35" s="191">
        <f t="shared" si="9"/>
        <v>0</v>
      </c>
    </row>
    <row r="36" spans="1:10" s="247" customFormat="1" ht="13.8" thickBot="1" x14ac:dyDescent="0.3">
      <c r="A36" s="241" t="s">
        <v>316</v>
      </c>
      <c r="B36" s="242">
        <f>Черн.!IT36</f>
        <v>13490997.3752</v>
      </c>
      <c r="C36" s="242">
        <f>C34+C35</f>
        <v>50975.98631</v>
      </c>
      <c r="D36" s="242">
        <f t="shared" si="5"/>
        <v>0.37785187330706377</v>
      </c>
      <c r="E36" s="242">
        <f>Черн.!IV36</f>
        <v>19345094.70775</v>
      </c>
      <c r="F36" s="242">
        <f>F34+F35</f>
        <v>27769.170599999998</v>
      </c>
      <c r="G36" s="242">
        <f t="shared" ref="G36" si="11">F36/E36%</f>
        <v>0.14354631507115423</v>
      </c>
      <c r="H36" s="242">
        <f t="shared" si="7"/>
        <v>43.392620795489677</v>
      </c>
      <c r="I36" s="242">
        <f t="shared" si="8"/>
        <v>-45.524995963535687</v>
      </c>
      <c r="J36" s="243">
        <f t="shared" si="9"/>
        <v>-0.23430555823590954</v>
      </c>
    </row>
    <row r="37" spans="1:10" ht="13.8" thickTop="1" x14ac:dyDescent="0.25"/>
  </sheetData>
  <autoFilter ref="A7:J37"/>
  <mergeCells count="13">
    <mergeCell ref="H5:H6"/>
    <mergeCell ref="J5:J6"/>
    <mergeCell ref="A2:J2"/>
    <mergeCell ref="H1:J1"/>
    <mergeCell ref="A4:A6"/>
    <mergeCell ref="B5:B6"/>
    <mergeCell ref="B4:D4"/>
    <mergeCell ref="D5:D6"/>
    <mergeCell ref="E4:G4"/>
    <mergeCell ref="E5:E6"/>
    <mergeCell ref="G5:G6"/>
    <mergeCell ref="H4:J4"/>
    <mergeCell ref="I3:J3"/>
  </mergeCells>
  <conditionalFormatting sqref="B8:J36">
    <cfRule type="cellIs" dxfId="5" priority="2" operator="equal">
      <formula>0</formula>
    </cfRule>
  </conditionalFormatting>
  <printOptions horizontalCentered="1"/>
  <pageMargins left="0.59055118110236227" right="0" top="0.35433070866141736" bottom="0.35433070866141736" header="0.11811023622047245" footer="0.11811023622047245"/>
  <pageSetup paperSize="9" scale="83" orientation="portrait" r:id="rId1"/>
  <headerFooter>
    <oddFooter>&amp;C&amp;9&amp;P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69"/>
  <sheetViews>
    <sheetView topLeftCell="E160" zoomScale="130" zoomScaleNormal="130" workbookViewId="0">
      <selection activeCell="F169" sqref="F169"/>
    </sheetView>
  </sheetViews>
  <sheetFormatPr defaultColWidth="9.109375" defaultRowHeight="13.2" x14ac:dyDescent="0.25"/>
  <cols>
    <col min="1" max="1" width="9.33203125" style="558" hidden="1" customWidth="1"/>
    <col min="2" max="2" width="21.44140625" style="558" hidden="1" customWidth="1"/>
    <col min="3" max="3" width="14.44140625" style="558" hidden="1" customWidth="1"/>
    <col min="4" max="4" width="50.44140625" style="558" customWidth="1"/>
    <col min="5" max="5" width="12.6640625" style="560" customWidth="1"/>
    <col min="6" max="6" width="12.6640625" style="561" customWidth="1"/>
    <col min="7" max="7" width="12.6640625" style="562" customWidth="1"/>
    <col min="8" max="8" width="34.6640625" style="563" customWidth="1"/>
    <col min="9" max="10" width="12.6640625" style="561" hidden="1" customWidth="1"/>
    <col min="11" max="11" width="12.6640625" style="564" hidden="1" customWidth="1"/>
    <col min="12" max="16384" width="9.109375" style="558"/>
  </cols>
  <sheetData>
    <row r="1" spans="1:11" x14ac:dyDescent="0.25">
      <c r="H1" s="958" t="s">
        <v>2450</v>
      </c>
      <c r="K1" s="763"/>
    </row>
    <row r="3" spans="1:11" ht="33.6" customHeight="1" x14ac:dyDescent="0.35">
      <c r="A3" s="1016" t="s">
        <v>1339</v>
      </c>
      <c r="B3" s="1017"/>
      <c r="C3" s="1017"/>
      <c r="D3" s="1017"/>
      <c r="E3" s="1017"/>
      <c r="F3" s="1017"/>
      <c r="G3" s="1017"/>
      <c r="H3" s="1017"/>
      <c r="I3" s="1017"/>
      <c r="J3" s="1017"/>
      <c r="K3" s="1017"/>
    </row>
    <row r="5" spans="1:11" ht="13.8" thickBot="1" x14ac:dyDescent="0.3"/>
    <row r="6" spans="1:11" ht="15" customHeight="1" thickTop="1" x14ac:dyDescent="0.25">
      <c r="A6" s="1018" t="s">
        <v>706</v>
      </c>
      <c r="B6" s="740" t="s">
        <v>707</v>
      </c>
      <c r="C6" s="791" t="s">
        <v>708</v>
      </c>
      <c r="D6" s="1020" t="s">
        <v>709</v>
      </c>
      <c r="E6" s="1022" t="s">
        <v>710</v>
      </c>
      <c r="F6" s="1024" t="s">
        <v>630</v>
      </c>
      <c r="G6" s="1025"/>
      <c r="H6" s="1026" t="s">
        <v>779</v>
      </c>
      <c r="I6" s="1028" t="s">
        <v>670</v>
      </c>
      <c r="J6" s="1029"/>
      <c r="K6" s="1030"/>
    </row>
    <row r="7" spans="1:11" ht="45.6" customHeight="1" x14ac:dyDescent="0.25">
      <c r="A7" s="1019" t="s">
        <v>706</v>
      </c>
      <c r="B7" s="721" t="s">
        <v>707</v>
      </c>
      <c r="C7" s="565" t="s">
        <v>708</v>
      </c>
      <c r="D7" s="1021"/>
      <c r="E7" s="1023"/>
      <c r="F7" s="507" t="s">
        <v>713</v>
      </c>
      <c r="G7" s="566" t="s">
        <v>714</v>
      </c>
      <c r="H7" s="1027"/>
      <c r="I7" s="764" t="s">
        <v>712</v>
      </c>
      <c r="J7" s="567" t="s">
        <v>713</v>
      </c>
      <c r="K7" s="568" t="s">
        <v>714</v>
      </c>
    </row>
    <row r="8" spans="1:11" ht="24" x14ac:dyDescent="0.25">
      <c r="A8" s="741" t="s">
        <v>715</v>
      </c>
      <c r="B8" s="569"/>
      <c r="C8" s="570"/>
      <c r="D8" s="604" t="s">
        <v>716</v>
      </c>
      <c r="E8" s="755">
        <f>E9+E12+E19+E22+E34+E38</f>
        <v>7671.7950120899995</v>
      </c>
      <c r="F8" s="755">
        <f>F9+F12+F19+F22+F34+F38</f>
        <v>4163.1793443400002</v>
      </c>
      <c r="G8" s="732" t="s">
        <v>105</v>
      </c>
      <c r="H8" s="774" t="s">
        <v>105</v>
      </c>
      <c r="I8" s="765" t="e">
        <f>I9+I12+I22+I34+I38</f>
        <v>#REF!</v>
      </c>
      <c r="J8" s="733">
        <v>1787.1</v>
      </c>
      <c r="K8" s="734" t="e">
        <f t="shared" ref="K8:K14" si="0">J8/I8*100</f>
        <v>#REF!</v>
      </c>
    </row>
    <row r="9" spans="1:11" ht="24" x14ac:dyDescent="0.25">
      <c r="A9" s="742"/>
      <c r="B9" s="509"/>
      <c r="C9" s="571"/>
      <c r="D9" s="572" t="s">
        <v>780</v>
      </c>
      <c r="E9" s="756">
        <f>E10+E11</f>
        <v>1234.47222222</v>
      </c>
      <c r="F9" s="756">
        <f>F10+F11</f>
        <v>869.99870871999997</v>
      </c>
      <c r="G9" s="735" t="s">
        <v>105</v>
      </c>
      <c r="H9" s="775" t="s">
        <v>105</v>
      </c>
      <c r="I9" s="766">
        <f>I10+I11</f>
        <v>1258.44</v>
      </c>
      <c r="J9" s="736">
        <f>J10+J11</f>
        <v>1257.3800000000001</v>
      </c>
      <c r="K9" s="737">
        <f t="shared" si="0"/>
        <v>99.915768729538172</v>
      </c>
    </row>
    <row r="10" spans="1:11" ht="46.2" x14ac:dyDescent="0.25">
      <c r="A10" s="743"/>
      <c r="B10" s="573" t="s">
        <v>781</v>
      </c>
      <c r="C10" s="574" t="s">
        <v>782</v>
      </c>
      <c r="D10" s="546" t="s">
        <v>783</v>
      </c>
      <c r="E10" s="757">
        <f>1222222222.22/1000000</f>
        <v>1222.22222222</v>
      </c>
      <c r="F10" s="757">
        <f>862036208.72/1000000</f>
        <v>862.03620871999999</v>
      </c>
      <c r="G10" s="575">
        <f>+F10/E10*100</f>
        <v>70.530235259037326</v>
      </c>
      <c r="H10" s="776" t="s">
        <v>784</v>
      </c>
      <c r="I10" s="767">
        <v>1222.22</v>
      </c>
      <c r="J10" s="516">
        <v>1222.22</v>
      </c>
      <c r="K10" s="519">
        <f t="shared" si="0"/>
        <v>100</v>
      </c>
    </row>
    <row r="11" spans="1:11" ht="34.799999999999997" x14ac:dyDescent="0.25">
      <c r="A11" s="743"/>
      <c r="B11" s="573" t="s">
        <v>785</v>
      </c>
      <c r="C11" s="574" t="s">
        <v>786</v>
      </c>
      <c r="D11" s="546" t="s">
        <v>731</v>
      </c>
      <c r="E11" s="757">
        <f>12250000/1000000</f>
        <v>12.25</v>
      </c>
      <c r="F11" s="757">
        <f>7962500/1000000</f>
        <v>7.9625000000000004</v>
      </c>
      <c r="G11" s="575">
        <f>+F11/E11*100</f>
        <v>65</v>
      </c>
      <c r="H11" s="776" t="s">
        <v>732</v>
      </c>
      <c r="I11" s="767">
        <v>36.22</v>
      </c>
      <c r="J11" s="516">
        <v>35.159999999999997</v>
      </c>
      <c r="K11" s="519">
        <f t="shared" si="0"/>
        <v>97.073440088348974</v>
      </c>
    </row>
    <row r="12" spans="1:11" ht="48" x14ac:dyDescent="0.25">
      <c r="A12" s="744"/>
      <c r="B12" s="520"/>
      <c r="C12" s="521"/>
      <c r="D12" s="576" t="s">
        <v>720</v>
      </c>
      <c r="E12" s="758">
        <f>E13+E16</f>
        <v>264.26082782000003</v>
      </c>
      <c r="F12" s="758">
        <f>F13+F16</f>
        <v>12.30548771</v>
      </c>
      <c r="G12" s="727" t="s">
        <v>105</v>
      </c>
      <c r="H12" s="777" t="s">
        <v>105</v>
      </c>
      <c r="I12" s="768" t="e">
        <f>I13+I16</f>
        <v>#REF!</v>
      </c>
      <c r="J12" s="523" t="e">
        <f>J13+J16</f>
        <v>#REF!</v>
      </c>
      <c r="K12" s="526" t="e">
        <f t="shared" si="0"/>
        <v>#REF!</v>
      </c>
    </row>
    <row r="13" spans="1:11" ht="36" x14ac:dyDescent="0.25">
      <c r="A13" s="745"/>
      <c r="B13" s="527"/>
      <c r="C13" s="528"/>
      <c r="D13" s="577" t="s">
        <v>787</v>
      </c>
      <c r="E13" s="759">
        <f>E14+E15</f>
        <v>261.51315869000001</v>
      </c>
      <c r="F13" s="759">
        <f>F14+F15</f>
        <v>10.74592346</v>
      </c>
      <c r="G13" s="731" t="s">
        <v>105</v>
      </c>
      <c r="H13" s="778" t="s">
        <v>105</v>
      </c>
      <c r="I13" s="769">
        <f>I14+I15</f>
        <v>6.35</v>
      </c>
      <c r="J13" s="530">
        <f>J14+J15</f>
        <v>1.67</v>
      </c>
      <c r="K13" s="533">
        <f t="shared" si="0"/>
        <v>26.299212598425196</v>
      </c>
    </row>
    <row r="14" spans="1:11" ht="34.799999999999997" x14ac:dyDescent="0.25">
      <c r="A14" s="743"/>
      <c r="B14" s="573" t="s">
        <v>785</v>
      </c>
      <c r="C14" s="574" t="s">
        <v>788</v>
      </c>
      <c r="D14" s="578" t="s">
        <v>731</v>
      </c>
      <c r="E14" s="757">
        <f>256259768.69/1000000</f>
        <v>256.25976868999999</v>
      </c>
      <c r="F14" s="757">
        <f>6382688.01/1000000</f>
        <v>6.3826880099999999</v>
      </c>
      <c r="G14" s="575">
        <f>+F14/E14*100</f>
        <v>2.4907101269264009</v>
      </c>
      <c r="H14" s="776" t="s">
        <v>732</v>
      </c>
      <c r="I14" s="767">
        <v>6.35</v>
      </c>
      <c r="J14" s="516">
        <v>1.67</v>
      </c>
      <c r="K14" s="519">
        <f t="shared" si="0"/>
        <v>26.299212598425196</v>
      </c>
    </row>
    <row r="15" spans="1:11" ht="57.6" x14ac:dyDescent="0.25">
      <c r="A15" s="743"/>
      <c r="B15" s="573" t="s">
        <v>789</v>
      </c>
      <c r="C15" s="574" t="s">
        <v>790</v>
      </c>
      <c r="D15" s="578" t="s">
        <v>791</v>
      </c>
      <c r="E15" s="757">
        <f>5253390/1000000</f>
        <v>5.2533899999999996</v>
      </c>
      <c r="F15" s="757">
        <f>4363235.45/1000000</f>
        <v>4.3632354500000003</v>
      </c>
      <c r="G15" s="575">
        <f>+F15/E15*100</f>
        <v>83.0556164686041</v>
      </c>
      <c r="H15" s="776" t="s">
        <v>729</v>
      </c>
      <c r="I15" s="767">
        <v>0</v>
      </c>
      <c r="J15" s="516">
        <v>0</v>
      </c>
      <c r="K15" s="519">
        <v>0</v>
      </c>
    </row>
    <row r="16" spans="1:11" ht="24" x14ac:dyDescent="0.25">
      <c r="A16" s="746"/>
      <c r="B16" s="579"/>
      <c r="C16" s="580"/>
      <c r="D16" s="581" t="s">
        <v>721</v>
      </c>
      <c r="E16" s="760">
        <f>E17+E18</f>
        <v>2.7476691300000002</v>
      </c>
      <c r="F16" s="760">
        <f>F17+F18</f>
        <v>1.55956425</v>
      </c>
      <c r="G16" s="807" t="s">
        <v>105</v>
      </c>
      <c r="H16" s="779" t="s">
        <v>105</v>
      </c>
      <c r="I16" s="770" t="e">
        <f>I17+#REF!+I18+#REF!</f>
        <v>#REF!</v>
      </c>
      <c r="J16" s="582" t="e">
        <f>J17+#REF!+J18+#REF!</f>
        <v>#REF!</v>
      </c>
      <c r="K16" s="583" t="e">
        <f>J16/I16*100</f>
        <v>#REF!</v>
      </c>
    </row>
    <row r="17" spans="1:11" ht="91.8" x14ac:dyDescent="0.25">
      <c r="A17" s="743"/>
      <c r="B17" s="573" t="s">
        <v>792</v>
      </c>
      <c r="C17" s="574" t="s">
        <v>722</v>
      </c>
      <c r="D17" s="546" t="s">
        <v>1309</v>
      </c>
      <c r="E17" s="757">
        <f>1519804.11/1000000+721235.02/1000000+456630/1000000</f>
        <v>2.6976691300000004</v>
      </c>
      <c r="F17" s="757">
        <f>1039364.25/1000000+355000/1000000+157200/1000000</f>
        <v>1.55156425</v>
      </c>
      <c r="G17" s="575">
        <f>+F17/E17*100</f>
        <v>57.514994435214518</v>
      </c>
      <c r="H17" s="776" t="s">
        <v>732</v>
      </c>
      <c r="I17" s="767">
        <v>22.57</v>
      </c>
      <c r="J17" s="516">
        <v>20.53</v>
      </c>
      <c r="K17" s="519">
        <f>J17/I17*100</f>
        <v>90.961453256535236</v>
      </c>
    </row>
    <row r="18" spans="1:11" ht="23.4" x14ac:dyDescent="0.25">
      <c r="A18" s="743"/>
      <c r="B18" s="573" t="s">
        <v>793</v>
      </c>
      <c r="C18" s="574" t="s">
        <v>794</v>
      </c>
      <c r="D18" s="546" t="s">
        <v>795</v>
      </c>
      <c r="E18" s="757">
        <f>50000/1000000</f>
        <v>0.05</v>
      </c>
      <c r="F18" s="757">
        <f>8000/1000000</f>
        <v>8.0000000000000002E-3</v>
      </c>
      <c r="G18" s="575">
        <f>+F18/E18*100</f>
        <v>16</v>
      </c>
      <c r="H18" s="776" t="s">
        <v>732</v>
      </c>
      <c r="I18" s="767">
        <v>0.05</v>
      </c>
      <c r="J18" s="516">
        <v>0</v>
      </c>
      <c r="K18" s="519">
        <f t="shared" ref="K18" si="1">J18/I18*100</f>
        <v>0</v>
      </c>
    </row>
    <row r="19" spans="1:11" ht="36" x14ac:dyDescent="0.25">
      <c r="A19" s="744"/>
      <c r="B19" s="520"/>
      <c r="C19" s="521"/>
      <c r="D19" s="576" t="s">
        <v>796</v>
      </c>
      <c r="E19" s="758">
        <f>E20+E21</f>
        <v>3508.28513114</v>
      </c>
      <c r="F19" s="758">
        <f>F20+F21</f>
        <v>1893.8303780599999</v>
      </c>
      <c r="G19" s="727" t="s">
        <v>105</v>
      </c>
      <c r="H19" s="777" t="s">
        <v>105</v>
      </c>
      <c r="I19" s="768" t="s">
        <v>31</v>
      </c>
      <c r="J19" s="523" t="s">
        <v>31</v>
      </c>
      <c r="K19" s="526" t="s">
        <v>31</v>
      </c>
    </row>
    <row r="20" spans="1:11" ht="80.400000000000006" x14ac:dyDescent="0.25">
      <c r="A20" s="743"/>
      <c r="B20" s="573" t="s">
        <v>792</v>
      </c>
      <c r="C20" s="574" t="s">
        <v>797</v>
      </c>
      <c r="D20" s="546" t="s">
        <v>798</v>
      </c>
      <c r="E20" s="757">
        <f>3433875037.94/1000000</f>
        <v>3433.8750379399999</v>
      </c>
      <c r="F20" s="757">
        <f>1842859039.56/1000000</f>
        <v>1842.8590395599999</v>
      </c>
      <c r="G20" s="575">
        <f>+F20/E20*100</f>
        <v>53.667038526408959</v>
      </c>
      <c r="H20" s="776" t="s">
        <v>732</v>
      </c>
      <c r="I20" s="767" t="s">
        <v>31</v>
      </c>
      <c r="J20" s="516" t="s">
        <v>31</v>
      </c>
      <c r="K20" s="584" t="s">
        <v>31</v>
      </c>
    </row>
    <row r="21" spans="1:11" ht="69" x14ac:dyDescent="0.25">
      <c r="A21" s="743"/>
      <c r="B21" s="573" t="s">
        <v>792</v>
      </c>
      <c r="C21" s="574" t="s">
        <v>799</v>
      </c>
      <c r="D21" s="546" t="s">
        <v>800</v>
      </c>
      <c r="E21" s="757">
        <f>74410093.2/1000000</f>
        <v>74.410093200000006</v>
      </c>
      <c r="F21" s="757">
        <f>50971338.5/1000000</f>
        <v>50.971338500000002</v>
      </c>
      <c r="G21" s="575">
        <f>+F21/E21*100</f>
        <v>68.5005706994599</v>
      </c>
      <c r="H21" s="776" t="s">
        <v>732</v>
      </c>
      <c r="I21" s="767" t="s">
        <v>31</v>
      </c>
      <c r="J21" s="516" t="s">
        <v>31</v>
      </c>
      <c r="K21" s="519" t="s">
        <v>31</v>
      </c>
    </row>
    <row r="22" spans="1:11" ht="24" x14ac:dyDescent="0.25">
      <c r="A22" s="747"/>
      <c r="B22" s="585"/>
      <c r="C22" s="586"/>
      <c r="D22" s="587" t="s">
        <v>725</v>
      </c>
      <c r="E22" s="758">
        <f>E23</f>
        <v>1476.4583513499997</v>
      </c>
      <c r="F22" s="758">
        <f>F23</f>
        <v>801.00928838000004</v>
      </c>
      <c r="G22" s="727" t="s">
        <v>105</v>
      </c>
      <c r="H22" s="780" t="s">
        <v>105</v>
      </c>
      <c r="I22" s="768">
        <f>I23</f>
        <v>903.15899999999999</v>
      </c>
      <c r="J22" s="523">
        <f>J23</f>
        <v>439.50600000000003</v>
      </c>
      <c r="K22" s="526">
        <f>J22/I22*100</f>
        <v>48.663192195394174</v>
      </c>
    </row>
    <row r="23" spans="1:11" ht="36" x14ac:dyDescent="0.25">
      <c r="A23" s="748"/>
      <c r="B23" s="588"/>
      <c r="C23" s="589"/>
      <c r="D23" s="590" t="s">
        <v>726</v>
      </c>
      <c r="E23" s="759">
        <f>E24+E26+E27+E28+E29+E30+E31+E25+E32+E33</f>
        <v>1476.4583513499997</v>
      </c>
      <c r="F23" s="759">
        <f>F24+F26+F27+F28+F29+F30+F31+F25+F32+F33</f>
        <v>801.00928838000004</v>
      </c>
      <c r="G23" s="731" t="s">
        <v>105</v>
      </c>
      <c r="H23" s="781" t="s">
        <v>105</v>
      </c>
      <c r="I23" s="769">
        <f>I24+I25+I26+I27+I28+I29+I30+I31+I32+I33</f>
        <v>903.15899999999999</v>
      </c>
      <c r="J23" s="530">
        <f>J24+J25+J26+J27+J28+J29+J30+J31+J32+J33</f>
        <v>439.50600000000003</v>
      </c>
      <c r="K23" s="533">
        <f>J23/I23*100</f>
        <v>48.663192195394174</v>
      </c>
    </row>
    <row r="24" spans="1:11" ht="57.6" x14ac:dyDescent="0.25">
      <c r="A24" s="743"/>
      <c r="B24" s="573" t="s">
        <v>727</v>
      </c>
      <c r="C24" s="574" t="s">
        <v>801</v>
      </c>
      <c r="D24" s="546" t="s">
        <v>2451</v>
      </c>
      <c r="E24" s="757">
        <f>132574971.09/1000000</f>
        <v>132.57497108999999</v>
      </c>
      <c r="F24" s="757">
        <f>106528850.63/1000000</f>
        <v>106.52885062999999</v>
      </c>
      <c r="G24" s="575">
        <f t="shared" ref="G24:G33" si="2">+F24/E24*100</f>
        <v>80.353666875538437</v>
      </c>
      <c r="H24" s="776" t="s">
        <v>729</v>
      </c>
      <c r="I24" s="767">
        <v>382.46</v>
      </c>
      <c r="J24" s="516">
        <v>249.33</v>
      </c>
      <c r="K24" s="519">
        <f>J24/I24*100</f>
        <v>65.191131098676991</v>
      </c>
    </row>
    <row r="25" spans="1:11" ht="23.4" x14ac:dyDescent="0.25">
      <c r="A25" s="743"/>
      <c r="B25" s="573" t="s">
        <v>730</v>
      </c>
      <c r="C25" s="574" t="s">
        <v>802</v>
      </c>
      <c r="D25" s="546" t="s">
        <v>723</v>
      </c>
      <c r="E25" s="757">
        <f>20701259.18/1000000</f>
        <v>20.701259180000001</v>
      </c>
      <c r="F25" s="757">
        <f>3120719.65/1000000</f>
        <v>3.1207196499999998</v>
      </c>
      <c r="G25" s="575">
        <f t="shared" si="2"/>
        <v>15.075023325223638</v>
      </c>
      <c r="H25" s="776" t="s">
        <v>732</v>
      </c>
      <c r="I25" s="767">
        <v>22.988</v>
      </c>
      <c r="J25" s="516">
        <v>2.2869999999999999</v>
      </c>
      <c r="K25" s="519">
        <f t="shared" ref="K25:K33" si="3">J25/I25*100</f>
        <v>9.9486688707151547</v>
      </c>
    </row>
    <row r="26" spans="1:11" ht="57.6" x14ac:dyDescent="0.25">
      <c r="A26" s="743"/>
      <c r="B26" s="573" t="s">
        <v>727</v>
      </c>
      <c r="C26" s="574" t="s">
        <v>803</v>
      </c>
      <c r="D26" s="546" t="s">
        <v>736</v>
      </c>
      <c r="E26" s="757">
        <f>4517939.06/1000000</f>
        <v>4.5179390599999998</v>
      </c>
      <c r="F26" s="757">
        <f>3356982.87/1000000</f>
        <v>3.35698287</v>
      </c>
      <c r="G26" s="575">
        <f t="shared" si="2"/>
        <v>74.303411918973524</v>
      </c>
      <c r="H26" s="776" t="s">
        <v>729</v>
      </c>
      <c r="I26" s="767">
        <v>3.4780000000000002</v>
      </c>
      <c r="J26" s="516">
        <v>0</v>
      </c>
      <c r="K26" s="519">
        <f t="shared" si="3"/>
        <v>0</v>
      </c>
    </row>
    <row r="27" spans="1:11" ht="34.799999999999997" x14ac:dyDescent="0.25">
      <c r="A27" s="743"/>
      <c r="B27" s="573" t="s">
        <v>727</v>
      </c>
      <c r="C27" s="574" t="s">
        <v>804</v>
      </c>
      <c r="D27" s="546" t="s">
        <v>731</v>
      </c>
      <c r="E27" s="757">
        <f>107500000/1000000</f>
        <v>107.5</v>
      </c>
      <c r="F27" s="757">
        <f>8830772.05/1000000</f>
        <v>8.8307720500000002</v>
      </c>
      <c r="G27" s="575">
        <f t="shared" si="2"/>
        <v>8.2146716744186055</v>
      </c>
      <c r="H27" s="776" t="s">
        <v>732</v>
      </c>
      <c r="I27" s="767">
        <v>0</v>
      </c>
      <c r="J27" s="516">
        <v>0</v>
      </c>
      <c r="K27" s="519">
        <v>0</v>
      </c>
    </row>
    <row r="28" spans="1:11" ht="57.6" x14ac:dyDescent="0.25">
      <c r="A28" s="743"/>
      <c r="B28" s="573" t="s">
        <v>727</v>
      </c>
      <c r="C28" s="574" t="s">
        <v>805</v>
      </c>
      <c r="D28" s="546" t="s">
        <v>736</v>
      </c>
      <c r="E28" s="757">
        <f>21205924.21/1000000</f>
        <v>21.205924209999999</v>
      </c>
      <c r="F28" s="757">
        <f>14699052.83/1000000</f>
        <v>14.699052829999999</v>
      </c>
      <c r="G28" s="575">
        <f t="shared" si="2"/>
        <v>69.315784987425459</v>
      </c>
      <c r="H28" s="776" t="s">
        <v>729</v>
      </c>
      <c r="I28" s="767">
        <v>0</v>
      </c>
      <c r="J28" s="516">
        <v>0</v>
      </c>
      <c r="K28" s="519">
        <v>0</v>
      </c>
    </row>
    <row r="29" spans="1:11" ht="57.6" x14ac:dyDescent="0.25">
      <c r="A29" s="743"/>
      <c r="B29" s="573" t="s">
        <v>727</v>
      </c>
      <c r="C29" s="574" t="s">
        <v>806</v>
      </c>
      <c r="D29" s="546" t="s">
        <v>807</v>
      </c>
      <c r="E29" s="757">
        <f>12625297.21/1000000</f>
        <v>12.625297210000001</v>
      </c>
      <c r="F29" s="757">
        <f>6516491.41/1000000</f>
        <v>6.5164914100000004</v>
      </c>
      <c r="G29" s="575">
        <f t="shared" si="2"/>
        <v>51.61455846630323</v>
      </c>
      <c r="H29" s="776" t="s">
        <v>729</v>
      </c>
      <c r="I29" s="767">
        <v>51.64</v>
      </c>
      <c r="J29" s="516">
        <v>38.779000000000003</v>
      </c>
      <c r="K29" s="519">
        <f t="shared" si="3"/>
        <v>75.094887683965922</v>
      </c>
    </row>
    <row r="30" spans="1:11" ht="57.6" x14ac:dyDescent="0.25">
      <c r="A30" s="743"/>
      <c r="B30" s="573" t="s">
        <v>727</v>
      </c>
      <c r="C30" s="574" t="s">
        <v>808</v>
      </c>
      <c r="D30" s="546" t="s">
        <v>809</v>
      </c>
      <c r="E30" s="757">
        <f>280514081.64/1000000</f>
        <v>280.51408163999997</v>
      </c>
      <c r="F30" s="757">
        <f>123776440.37/1000000</f>
        <v>123.77644037</v>
      </c>
      <c r="G30" s="575">
        <f t="shared" si="2"/>
        <v>44.124858062865272</v>
      </c>
      <c r="H30" s="776" t="s">
        <v>729</v>
      </c>
      <c r="I30" s="767">
        <v>0</v>
      </c>
      <c r="J30" s="516">
        <v>0</v>
      </c>
      <c r="K30" s="519">
        <v>0</v>
      </c>
    </row>
    <row r="31" spans="1:11" ht="57.6" x14ac:dyDescent="0.25">
      <c r="A31" s="743"/>
      <c r="B31" s="573" t="s">
        <v>727</v>
      </c>
      <c r="C31" s="574" t="s">
        <v>810</v>
      </c>
      <c r="D31" s="546" t="s">
        <v>811</v>
      </c>
      <c r="E31" s="757">
        <f>89910000/1000000</f>
        <v>89.91</v>
      </c>
      <c r="F31" s="757">
        <f>79010175.41/1000000</f>
        <v>79.010175410000002</v>
      </c>
      <c r="G31" s="575">
        <f t="shared" si="2"/>
        <v>87.876960749638528</v>
      </c>
      <c r="H31" s="776" t="s">
        <v>729</v>
      </c>
      <c r="I31" s="767">
        <v>0</v>
      </c>
      <c r="J31" s="516">
        <v>0</v>
      </c>
      <c r="K31" s="519">
        <v>0</v>
      </c>
    </row>
    <row r="32" spans="1:11" ht="34.799999999999997" x14ac:dyDescent="0.25">
      <c r="A32" s="743"/>
      <c r="B32" s="573" t="s">
        <v>730</v>
      </c>
      <c r="C32" s="574" t="s">
        <v>812</v>
      </c>
      <c r="D32" s="546" t="s">
        <v>731</v>
      </c>
      <c r="E32" s="757">
        <f>254995.93/1000000</f>
        <v>0.25499592999999998</v>
      </c>
      <c r="F32" s="757">
        <f>163986.58/1000000</f>
        <v>0.16398657999999999</v>
      </c>
      <c r="G32" s="575">
        <f t="shared" si="2"/>
        <v>64.309489174984094</v>
      </c>
      <c r="H32" s="776" t="s">
        <v>732</v>
      </c>
      <c r="I32" s="767">
        <v>0</v>
      </c>
      <c r="J32" s="516">
        <v>0</v>
      </c>
      <c r="K32" s="519">
        <v>0</v>
      </c>
    </row>
    <row r="33" spans="1:11" ht="34.799999999999997" x14ac:dyDescent="0.25">
      <c r="A33" s="743"/>
      <c r="B33" s="573" t="s">
        <v>730</v>
      </c>
      <c r="C33" s="574" t="s">
        <v>813</v>
      </c>
      <c r="D33" s="546" t="s">
        <v>814</v>
      </c>
      <c r="E33" s="757">
        <f>806653883.03/1000000</f>
        <v>806.65388302999997</v>
      </c>
      <c r="F33" s="757">
        <f>455005816.58/1000000</f>
        <v>455.00581657999999</v>
      </c>
      <c r="G33" s="575">
        <f t="shared" si="2"/>
        <v>56.406573643565793</v>
      </c>
      <c r="H33" s="776" t="s">
        <v>737</v>
      </c>
      <c r="I33" s="767">
        <v>442.59300000000002</v>
      </c>
      <c r="J33" s="516">
        <v>149.11000000000001</v>
      </c>
      <c r="K33" s="519">
        <f t="shared" si="3"/>
        <v>33.69009451121007</v>
      </c>
    </row>
    <row r="34" spans="1:11" ht="24" x14ac:dyDescent="0.25">
      <c r="A34" s="747"/>
      <c r="B34" s="585"/>
      <c r="C34" s="586"/>
      <c r="D34" s="587" t="s">
        <v>815</v>
      </c>
      <c r="E34" s="758">
        <f>E35</f>
        <v>754.92480120999994</v>
      </c>
      <c r="F34" s="758">
        <f>F35</f>
        <v>325.23431509</v>
      </c>
      <c r="G34" s="727" t="s">
        <v>105</v>
      </c>
      <c r="H34" s="780" t="s">
        <v>105</v>
      </c>
      <c r="I34" s="768">
        <f>I35</f>
        <v>1.19</v>
      </c>
      <c r="J34" s="523">
        <f t="shared" ref="J34:K34" si="4">J35</f>
        <v>0</v>
      </c>
      <c r="K34" s="526">
        <f t="shared" si="4"/>
        <v>0</v>
      </c>
    </row>
    <row r="35" spans="1:11" ht="24" x14ac:dyDescent="0.25">
      <c r="A35" s="748"/>
      <c r="B35" s="588"/>
      <c r="C35" s="589"/>
      <c r="D35" s="590" t="s">
        <v>816</v>
      </c>
      <c r="E35" s="759">
        <f>E36+E37</f>
        <v>754.92480120999994</v>
      </c>
      <c r="F35" s="759">
        <f>F36+F37</f>
        <v>325.23431509</v>
      </c>
      <c r="G35" s="731" t="s">
        <v>105</v>
      </c>
      <c r="H35" s="781" t="s">
        <v>105</v>
      </c>
      <c r="I35" s="769">
        <f>I36+I37</f>
        <v>1.19</v>
      </c>
      <c r="J35" s="530">
        <v>0</v>
      </c>
      <c r="K35" s="533">
        <v>0</v>
      </c>
    </row>
    <row r="36" spans="1:11" ht="23.4" x14ac:dyDescent="0.25">
      <c r="A36" s="743"/>
      <c r="B36" s="573" t="s">
        <v>817</v>
      </c>
      <c r="C36" s="574" t="s">
        <v>818</v>
      </c>
      <c r="D36" s="546" t="s">
        <v>819</v>
      </c>
      <c r="E36" s="757">
        <f>650000000/1000000</f>
        <v>650</v>
      </c>
      <c r="F36" s="757">
        <f>253631887.41/1000000</f>
        <v>253.63188740999999</v>
      </c>
      <c r="G36" s="575">
        <f>+F36/E36*100</f>
        <v>39.020290370769231</v>
      </c>
      <c r="H36" s="776" t="s">
        <v>732</v>
      </c>
      <c r="I36" s="767">
        <v>0</v>
      </c>
      <c r="J36" s="516">
        <v>0</v>
      </c>
      <c r="K36" s="519">
        <v>0</v>
      </c>
    </row>
    <row r="37" spans="1:11" ht="34.799999999999997" x14ac:dyDescent="0.25">
      <c r="A37" s="743"/>
      <c r="B37" s="573" t="s">
        <v>820</v>
      </c>
      <c r="C37" s="574" t="s">
        <v>821</v>
      </c>
      <c r="D37" s="546" t="s">
        <v>731</v>
      </c>
      <c r="E37" s="757">
        <f>104924801.21/1000000</f>
        <v>104.92480121</v>
      </c>
      <c r="F37" s="757">
        <f>71602427.68/1000000</f>
        <v>71.602427680000005</v>
      </c>
      <c r="G37" s="575">
        <f>+F37/E37*100</f>
        <v>68.241661508314436</v>
      </c>
      <c r="H37" s="776" t="s">
        <v>732</v>
      </c>
      <c r="I37" s="767">
        <v>1.19</v>
      </c>
      <c r="J37" s="516">
        <v>0</v>
      </c>
      <c r="K37" s="519">
        <v>0</v>
      </c>
    </row>
    <row r="38" spans="1:11" ht="60" x14ac:dyDescent="0.25">
      <c r="A38" s="744"/>
      <c r="B38" s="520"/>
      <c r="C38" s="521"/>
      <c r="D38" s="576" t="s">
        <v>822</v>
      </c>
      <c r="E38" s="758">
        <f>E39</f>
        <v>433.39367835000002</v>
      </c>
      <c r="F38" s="758">
        <f t="shared" ref="F38" si="5">F39</f>
        <v>260.80116637999998</v>
      </c>
      <c r="G38" s="727" t="s">
        <v>105</v>
      </c>
      <c r="H38" s="777" t="s">
        <v>105</v>
      </c>
      <c r="I38" s="768">
        <f>I39</f>
        <v>143.84899999999999</v>
      </c>
      <c r="J38" s="523">
        <f t="shared" ref="J38:K38" si="6">J39</f>
        <v>67.75</v>
      </c>
      <c r="K38" s="526">
        <f t="shared" si="6"/>
        <v>47.097998595749715</v>
      </c>
    </row>
    <row r="39" spans="1:11" ht="24" x14ac:dyDescent="0.25">
      <c r="A39" s="745"/>
      <c r="B39" s="527"/>
      <c r="C39" s="528"/>
      <c r="D39" s="577" t="s">
        <v>823</v>
      </c>
      <c r="E39" s="759">
        <f>E40+E41+E42</f>
        <v>433.39367835000002</v>
      </c>
      <c r="F39" s="759">
        <f t="shared" ref="F39" si="7">F40+F41+F42</f>
        <v>260.80116637999998</v>
      </c>
      <c r="G39" s="731" t="s">
        <v>105</v>
      </c>
      <c r="H39" s="778" t="s">
        <v>105</v>
      </c>
      <c r="I39" s="769">
        <f>I40+I41+I42</f>
        <v>143.84899999999999</v>
      </c>
      <c r="J39" s="530">
        <f>J40+J41+J42</f>
        <v>67.75</v>
      </c>
      <c r="K39" s="533">
        <f>J39/I39*100</f>
        <v>47.097998595749715</v>
      </c>
    </row>
    <row r="40" spans="1:11" ht="34.799999999999997" x14ac:dyDescent="0.25">
      <c r="A40" s="743"/>
      <c r="B40" s="573" t="s">
        <v>824</v>
      </c>
      <c r="C40" s="574" t="s">
        <v>825</v>
      </c>
      <c r="D40" s="546" t="s">
        <v>736</v>
      </c>
      <c r="E40" s="757">
        <f>31548700/1000000</f>
        <v>31.5487</v>
      </c>
      <c r="F40" s="757">
        <f>22380385.96/1000000</f>
        <v>22.380385960000002</v>
      </c>
      <c r="G40" s="575">
        <f>+F40/E40*100</f>
        <v>70.939170108435533</v>
      </c>
      <c r="H40" s="776" t="s">
        <v>737</v>
      </c>
      <c r="I40" s="767">
        <v>1.5</v>
      </c>
      <c r="J40" s="516">
        <v>1.4990000000000001</v>
      </c>
      <c r="K40" s="519">
        <f>J40/I40*100</f>
        <v>99.933333333333337</v>
      </c>
    </row>
    <row r="41" spans="1:11" ht="34.799999999999997" x14ac:dyDescent="0.25">
      <c r="A41" s="743"/>
      <c r="B41" s="573" t="s">
        <v>824</v>
      </c>
      <c r="C41" s="574" t="s">
        <v>826</v>
      </c>
      <c r="D41" s="546" t="s">
        <v>731</v>
      </c>
      <c r="E41" s="757">
        <f>127574622.75/1000000</f>
        <v>127.57462275</v>
      </c>
      <c r="F41" s="757">
        <f>33733166.38/1000000</f>
        <v>33.73316638</v>
      </c>
      <c r="G41" s="575">
        <f>+F41/E41*100</f>
        <v>26.441909568570527</v>
      </c>
      <c r="H41" s="776" t="s">
        <v>732</v>
      </c>
      <c r="I41" s="767">
        <v>18</v>
      </c>
      <c r="J41" s="516">
        <v>0</v>
      </c>
      <c r="K41" s="519">
        <v>0</v>
      </c>
    </row>
    <row r="42" spans="1:11" ht="34.799999999999997" x14ac:dyDescent="0.25">
      <c r="A42" s="743"/>
      <c r="B42" s="573" t="s">
        <v>824</v>
      </c>
      <c r="C42" s="574" t="s">
        <v>827</v>
      </c>
      <c r="D42" s="546" t="s">
        <v>828</v>
      </c>
      <c r="E42" s="757">
        <f>274270355.6/1000000</f>
        <v>274.27035560000002</v>
      </c>
      <c r="F42" s="757">
        <f>204687614.04/1000000</f>
        <v>204.68761404</v>
      </c>
      <c r="G42" s="575">
        <f>+F42/E42*100</f>
        <v>74.629871533954429</v>
      </c>
      <c r="H42" s="776" t="s">
        <v>732</v>
      </c>
      <c r="I42" s="767">
        <v>124.349</v>
      </c>
      <c r="J42" s="516">
        <v>66.251000000000005</v>
      </c>
      <c r="K42" s="519">
        <v>0</v>
      </c>
    </row>
    <row r="43" spans="1:11" ht="36" x14ac:dyDescent="0.25">
      <c r="A43" s="749" t="s">
        <v>829</v>
      </c>
      <c r="B43" s="591"/>
      <c r="C43" s="592"/>
      <c r="D43" s="593" t="s">
        <v>830</v>
      </c>
      <c r="E43" s="761">
        <f>E44</f>
        <v>20</v>
      </c>
      <c r="F43" s="761">
        <f t="shared" ref="F43:F45" si="8">F44</f>
        <v>16.386670210000002</v>
      </c>
      <c r="G43" s="725" t="s">
        <v>105</v>
      </c>
      <c r="H43" s="774" t="s">
        <v>105</v>
      </c>
      <c r="I43" s="771" t="s">
        <v>31</v>
      </c>
      <c r="J43" s="594" t="s">
        <v>31</v>
      </c>
      <c r="K43" s="605" t="s">
        <v>31</v>
      </c>
    </row>
    <row r="44" spans="1:11" ht="36" x14ac:dyDescent="0.25">
      <c r="A44" s="744"/>
      <c r="B44" s="520"/>
      <c r="C44" s="521"/>
      <c r="D44" s="576" t="s">
        <v>831</v>
      </c>
      <c r="E44" s="758">
        <f>E45</f>
        <v>20</v>
      </c>
      <c r="F44" s="758">
        <f t="shared" si="8"/>
        <v>16.386670210000002</v>
      </c>
      <c r="G44" s="727" t="s">
        <v>105</v>
      </c>
      <c r="H44" s="777" t="s">
        <v>105</v>
      </c>
      <c r="I44" s="768" t="s">
        <v>31</v>
      </c>
      <c r="J44" s="523" t="s">
        <v>31</v>
      </c>
      <c r="K44" s="526" t="s">
        <v>31</v>
      </c>
    </row>
    <row r="45" spans="1:11" ht="24" x14ac:dyDescent="0.25">
      <c r="A45" s="745"/>
      <c r="B45" s="527"/>
      <c r="C45" s="528"/>
      <c r="D45" s="577" t="s">
        <v>832</v>
      </c>
      <c r="E45" s="759">
        <f>E46</f>
        <v>20</v>
      </c>
      <c r="F45" s="759">
        <f t="shared" si="8"/>
        <v>16.386670210000002</v>
      </c>
      <c r="G45" s="731" t="s">
        <v>105</v>
      </c>
      <c r="H45" s="778" t="s">
        <v>105</v>
      </c>
      <c r="I45" s="769" t="s">
        <v>31</v>
      </c>
      <c r="J45" s="530" t="s">
        <v>31</v>
      </c>
      <c r="K45" s="533" t="s">
        <v>31</v>
      </c>
    </row>
    <row r="46" spans="1:11" ht="57.6" x14ac:dyDescent="0.25">
      <c r="A46" s="743"/>
      <c r="B46" s="573" t="s">
        <v>789</v>
      </c>
      <c r="C46" s="574" t="s">
        <v>833</v>
      </c>
      <c r="D46" s="546" t="s">
        <v>834</v>
      </c>
      <c r="E46" s="757">
        <f>20000000/1000000</f>
        <v>20</v>
      </c>
      <c r="F46" s="757">
        <f>16386670.21/1000000</f>
        <v>16.386670210000002</v>
      </c>
      <c r="G46" s="575">
        <f>+F46/E46*100</f>
        <v>81.933351050000013</v>
      </c>
      <c r="H46" s="776" t="s">
        <v>729</v>
      </c>
      <c r="I46" s="767" t="s">
        <v>31</v>
      </c>
      <c r="J46" s="516" t="s">
        <v>31</v>
      </c>
      <c r="K46" s="519" t="s">
        <v>31</v>
      </c>
    </row>
    <row r="47" spans="1:11" ht="24" x14ac:dyDescent="0.25">
      <c r="A47" s="750" t="s">
        <v>738</v>
      </c>
      <c r="B47" s="534"/>
      <c r="C47" s="535"/>
      <c r="D47" s="593" t="s">
        <v>739</v>
      </c>
      <c r="E47" s="761">
        <f>E48+E53</f>
        <v>120.25719999999998</v>
      </c>
      <c r="F47" s="761">
        <f>F48+F53</f>
        <v>35.171744659999995</v>
      </c>
      <c r="G47" s="726" t="s">
        <v>105</v>
      </c>
      <c r="H47" s="774" t="s">
        <v>105</v>
      </c>
      <c r="I47" s="771">
        <f>I48+I53</f>
        <v>184.97</v>
      </c>
      <c r="J47" s="594">
        <f>J48+J53</f>
        <v>184.69</v>
      </c>
      <c r="K47" s="605">
        <f>J47/I47*100</f>
        <v>99.848624101205601</v>
      </c>
    </row>
    <row r="48" spans="1:11" ht="24" x14ac:dyDescent="0.25">
      <c r="A48" s="744"/>
      <c r="B48" s="520"/>
      <c r="C48" s="521"/>
      <c r="D48" s="576" t="s">
        <v>835</v>
      </c>
      <c r="E48" s="758">
        <f>E49+E51</f>
        <v>0.6</v>
      </c>
      <c r="F48" s="758">
        <f>F49+F51</f>
        <v>0.35000000000000003</v>
      </c>
      <c r="G48" s="728" t="s">
        <v>105</v>
      </c>
      <c r="H48" s="777" t="s">
        <v>105</v>
      </c>
      <c r="I48" s="768">
        <f>I49+I51</f>
        <v>0.56999999999999995</v>
      </c>
      <c r="J48" s="523">
        <f>J49+J51</f>
        <v>0.28999999999999998</v>
      </c>
      <c r="K48" s="526">
        <f>J48/I48*100</f>
        <v>50.877192982456144</v>
      </c>
    </row>
    <row r="49" spans="1:11" x14ac:dyDescent="0.25">
      <c r="A49" s="745"/>
      <c r="B49" s="527"/>
      <c r="C49" s="528"/>
      <c r="D49" s="577" t="s">
        <v>836</v>
      </c>
      <c r="E49" s="759">
        <f>E50</f>
        <v>0.5</v>
      </c>
      <c r="F49" s="759">
        <f t="shared" ref="F49" si="9">F50</f>
        <v>0.27</v>
      </c>
      <c r="G49" s="738" t="s">
        <v>105</v>
      </c>
      <c r="H49" s="778" t="s">
        <v>105</v>
      </c>
      <c r="I49" s="769">
        <f>I50</f>
        <v>0.47</v>
      </c>
      <c r="J49" s="530">
        <f>J50</f>
        <v>0.21</v>
      </c>
      <c r="K49" s="533">
        <f>K50</f>
        <v>44.680851063829792</v>
      </c>
    </row>
    <row r="50" spans="1:11" ht="23.4" x14ac:dyDescent="0.25">
      <c r="A50" s="743"/>
      <c r="B50" s="573" t="s">
        <v>837</v>
      </c>
      <c r="C50" s="574" t="s">
        <v>838</v>
      </c>
      <c r="D50" s="546" t="s">
        <v>839</v>
      </c>
      <c r="E50" s="757">
        <f>500000/1000000</f>
        <v>0.5</v>
      </c>
      <c r="F50" s="757">
        <f>270000/1000000</f>
        <v>0.27</v>
      </c>
      <c r="G50" s="575">
        <f>+F50/E50*100</f>
        <v>54</v>
      </c>
      <c r="H50" s="776" t="s">
        <v>840</v>
      </c>
      <c r="I50" s="767">
        <v>0.47</v>
      </c>
      <c r="J50" s="516">
        <v>0.21</v>
      </c>
      <c r="K50" s="519">
        <f>J50/I50*100</f>
        <v>44.680851063829792</v>
      </c>
    </row>
    <row r="51" spans="1:11" ht="36" x14ac:dyDescent="0.25">
      <c r="A51" s="745"/>
      <c r="B51" s="527"/>
      <c r="C51" s="528"/>
      <c r="D51" s="577" t="s">
        <v>841</v>
      </c>
      <c r="E51" s="759">
        <f>E52</f>
        <v>0.1</v>
      </c>
      <c r="F51" s="759">
        <f t="shared" ref="F51" si="10">F52</f>
        <v>0.08</v>
      </c>
      <c r="G51" s="738" t="s">
        <v>105</v>
      </c>
      <c r="H51" s="778" t="s">
        <v>105</v>
      </c>
      <c r="I51" s="769">
        <f>I52</f>
        <v>0.1</v>
      </c>
      <c r="J51" s="530">
        <f>J52</f>
        <v>0.08</v>
      </c>
      <c r="K51" s="533">
        <f>K52</f>
        <v>80</v>
      </c>
    </row>
    <row r="52" spans="1:11" ht="80.400000000000006" x14ac:dyDescent="0.25">
      <c r="A52" s="743"/>
      <c r="B52" s="573" t="s">
        <v>837</v>
      </c>
      <c r="C52" s="574" t="s">
        <v>842</v>
      </c>
      <c r="D52" s="546" t="s">
        <v>839</v>
      </c>
      <c r="E52" s="757">
        <f>100000/1000000</f>
        <v>0.1</v>
      </c>
      <c r="F52" s="757">
        <f>80000/1000000</f>
        <v>0.08</v>
      </c>
      <c r="G52" s="575">
        <f>+F52/E52*100</f>
        <v>80</v>
      </c>
      <c r="H52" s="776" t="s">
        <v>1310</v>
      </c>
      <c r="I52" s="767">
        <f>100000/1000000</f>
        <v>0.1</v>
      </c>
      <c r="J52" s="516">
        <f>80000/1000000</f>
        <v>0.08</v>
      </c>
      <c r="K52" s="519">
        <f>J52/I52*100</f>
        <v>80</v>
      </c>
    </row>
    <row r="53" spans="1:11" ht="48" x14ac:dyDescent="0.25">
      <c r="A53" s="744"/>
      <c r="B53" s="520"/>
      <c r="C53" s="521"/>
      <c r="D53" s="576" t="s">
        <v>740</v>
      </c>
      <c r="E53" s="758">
        <f>E54</f>
        <v>119.65719999999999</v>
      </c>
      <c r="F53" s="758">
        <f t="shared" ref="F53" si="11">F54</f>
        <v>34.821744659999993</v>
      </c>
      <c r="G53" s="728" t="s">
        <v>105</v>
      </c>
      <c r="H53" s="777" t="s">
        <v>105</v>
      </c>
      <c r="I53" s="768">
        <f>I54</f>
        <v>184.4</v>
      </c>
      <c r="J53" s="523">
        <f t="shared" ref="J53:K53" si="12">J54</f>
        <v>184.4</v>
      </c>
      <c r="K53" s="526">
        <f t="shared" si="12"/>
        <v>100</v>
      </c>
    </row>
    <row r="54" spans="1:11" ht="36" x14ac:dyDescent="0.25">
      <c r="A54" s="745"/>
      <c r="B54" s="527"/>
      <c r="C54" s="528"/>
      <c r="D54" s="577" t="s">
        <v>741</v>
      </c>
      <c r="E54" s="759">
        <f>E55+E56+E57</f>
        <v>119.65719999999999</v>
      </c>
      <c r="F54" s="759">
        <f>F55+F56+F57</f>
        <v>34.821744659999993</v>
      </c>
      <c r="G54" s="731" t="s">
        <v>105</v>
      </c>
      <c r="H54" s="778" t="s">
        <v>105</v>
      </c>
      <c r="I54" s="769">
        <f>I55+I56+I57</f>
        <v>184.4</v>
      </c>
      <c r="J54" s="530">
        <f>J55+J56+J57</f>
        <v>184.4</v>
      </c>
      <c r="K54" s="533">
        <f>J54/I54*100</f>
        <v>100</v>
      </c>
    </row>
    <row r="55" spans="1:11" ht="23.4" x14ac:dyDescent="0.25">
      <c r="A55" s="743"/>
      <c r="B55" s="573" t="s">
        <v>742</v>
      </c>
      <c r="C55" s="574" t="s">
        <v>843</v>
      </c>
      <c r="D55" s="546" t="s">
        <v>743</v>
      </c>
      <c r="E55" s="757">
        <f>100000/1000000</f>
        <v>0.1</v>
      </c>
      <c r="F55" s="757">
        <f>86486.4/1000000</f>
        <v>8.6486399999999991E-2</v>
      </c>
      <c r="G55" s="575">
        <v>86.49</v>
      </c>
      <c r="H55" s="776" t="s">
        <v>1311</v>
      </c>
      <c r="I55" s="767">
        <v>0</v>
      </c>
      <c r="J55" s="516">
        <v>0</v>
      </c>
      <c r="K55" s="519">
        <v>0</v>
      </c>
    </row>
    <row r="56" spans="1:11" ht="57.6" x14ac:dyDescent="0.25">
      <c r="A56" s="743"/>
      <c r="B56" s="573" t="s">
        <v>844</v>
      </c>
      <c r="C56" s="574" t="s">
        <v>845</v>
      </c>
      <c r="D56" s="546" t="s">
        <v>846</v>
      </c>
      <c r="E56" s="757">
        <f>102000000/1000000</f>
        <v>102</v>
      </c>
      <c r="F56" s="757">
        <f>19874902.22/1000000</f>
        <v>19.874902219999999</v>
      </c>
      <c r="G56" s="575">
        <f>+F56/E56*100</f>
        <v>19.48519825490196</v>
      </c>
      <c r="H56" s="776" t="s">
        <v>1312</v>
      </c>
      <c r="I56" s="767">
        <v>184.4</v>
      </c>
      <c r="J56" s="516">
        <v>184.4</v>
      </c>
      <c r="K56" s="519">
        <v>0</v>
      </c>
    </row>
    <row r="57" spans="1:11" ht="57.6" x14ac:dyDescent="0.25">
      <c r="A57" s="743"/>
      <c r="B57" s="573" t="s">
        <v>844</v>
      </c>
      <c r="C57" s="574" t="s">
        <v>847</v>
      </c>
      <c r="D57" s="546" t="s">
        <v>848</v>
      </c>
      <c r="E57" s="757">
        <f>17557200/1000000</f>
        <v>17.557200000000002</v>
      </c>
      <c r="F57" s="757">
        <f>14860356.04/1000000</f>
        <v>14.860356039999999</v>
      </c>
      <c r="G57" s="575">
        <f>+F57/E57*100</f>
        <v>84.639669423370449</v>
      </c>
      <c r="H57" s="776" t="s">
        <v>729</v>
      </c>
      <c r="I57" s="767">
        <v>0</v>
      </c>
      <c r="J57" s="516">
        <v>0</v>
      </c>
      <c r="K57" s="519">
        <v>0</v>
      </c>
    </row>
    <row r="58" spans="1:11" x14ac:dyDescent="0.25">
      <c r="A58" s="750" t="s">
        <v>849</v>
      </c>
      <c r="B58" s="534"/>
      <c r="C58" s="535"/>
      <c r="D58" s="593" t="s">
        <v>850</v>
      </c>
      <c r="E58" s="761">
        <f>E59+E68</f>
        <v>630.33813800000007</v>
      </c>
      <c r="F58" s="761">
        <f>F59+F68</f>
        <v>507.04022355000001</v>
      </c>
      <c r="G58" s="725" t="s">
        <v>105</v>
      </c>
      <c r="H58" s="774" t="s">
        <v>105</v>
      </c>
      <c r="I58" s="771">
        <f>I59</f>
        <v>538.30610000000001</v>
      </c>
      <c r="J58" s="594">
        <f>J59</f>
        <v>496.25970188999992</v>
      </c>
      <c r="K58" s="605">
        <f>J58/I58*100</f>
        <v>92.189128432689117</v>
      </c>
    </row>
    <row r="59" spans="1:11" ht="24" x14ac:dyDescent="0.25">
      <c r="A59" s="744"/>
      <c r="B59" s="520"/>
      <c r="C59" s="521"/>
      <c r="D59" s="576" t="s">
        <v>815</v>
      </c>
      <c r="E59" s="758">
        <f>E60+E66+E64</f>
        <v>630.01813800000002</v>
      </c>
      <c r="F59" s="758">
        <f>F60+F66+F64</f>
        <v>506.76422355</v>
      </c>
      <c r="G59" s="727" t="s">
        <v>105</v>
      </c>
      <c r="H59" s="777" t="s">
        <v>105</v>
      </c>
      <c r="I59" s="768">
        <f>I60+I64+I66</f>
        <v>538.30610000000001</v>
      </c>
      <c r="J59" s="523">
        <f>J60+J64+J66</f>
        <v>496.25970188999992</v>
      </c>
      <c r="K59" s="526">
        <f>J59/I59*100</f>
        <v>92.189128432689117</v>
      </c>
    </row>
    <row r="60" spans="1:11" ht="36" x14ac:dyDescent="0.25">
      <c r="A60" s="745"/>
      <c r="B60" s="527"/>
      <c r="C60" s="528"/>
      <c r="D60" s="577" t="s">
        <v>851</v>
      </c>
      <c r="E60" s="759">
        <f>E61+E62+E63</f>
        <v>589.5018</v>
      </c>
      <c r="F60" s="759">
        <f>F61+F62+F63</f>
        <v>475.26923658999999</v>
      </c>
      <c r="G60" s="731" t="s">
        <v>105</v>
      </c>
      <c r="H60" s="778" t="s">
        <v>105</v>
      </c>
      <c r="I60" s="769">
        <f>I61+I62+I63</f>
        <v>493.62819999999999</v>
      </c>
      <c r="J60" s="530">
        <f>J61+J62+J63</f>
        <v>465.90234826999995</v>
      </c>
      <c r="K60" s="533">
        <f>J60/I60*100</f>
        <v>94.383252065015725</v>
      </c>
    </row>
    <row r="61" spans="1:11" ht="34.799999999999997" x14ac:dyDescent="0.25">
      <c r="A61" s="743"/>
      <c r="B61" s="573" t="s">
        <v>820</v>
      </c>
      <c r="C61" s="574" t="s">
        <v>852</v>
      </c>
      <c r="D61" s="546" t="s">
        <v>853</v>
      </c>
      <c r="E61" s="757">
        <f>126562600/1000000</f>
        <v>126.5626</v>
      </c>
      <c r="F61" s="757">
        <f>95544784.57/1000000</f>
        <v>95.54478456999999</v>
      </c>
      <c r="G61" s="575">
        <f>+F61/E61*100</f>
        <v>75.492115814624526</v>
      </c>
      <c r="H61" s="776" t="s">
        <v>1313</v>
      </c>
      <c r="I61" s="767">
        <v>135.827</v>
      </c>
      <c r="J61" s="516">
        <v>134.45500000000001</v>
      </c>
      <c r="K61" s="519">
        <f>J61/I61*100</f>
        <v>98.989891553225803</v>
      </c>
    </row>
    <row r="62" spans="1:11" ht="69" x14ac:dyDescent="0.25">
      <c r="A62" s="743"/>
      <c r="B62" s="573" t="s">
        <v>820</v>
      </c>
      <c r="C62" s="574" t="s">
        <v>854</v>
      </c>
      <c r="D62" s="546" t="s">
        <v>855</v>
      </c>
      <c r="E62" s="757">
        <f>399118200/1000000</f>
        <v>399.1182</v>
      </c>
      <c r="F62" s="757">
        <f>341099630.82/1000000</f>
        <v>341.09963082000002</v>
      </c>
      <c r="G62" s="575">
        <f>+F62/E62*100</f>
        <v>85.463311575367911</v>
      </c>
      <c r="H62" s="776" t="s">
        <v>1313</v>
      </c>
      <c r="I62" s="767">
        <f>357801200/1000000</f>
        <v>357.80119999999999</v>
      </c>
      <c r="J62" s="516">
        <f>331447348.27/1000000</f>
        <v>331.44734826999996</v>
      </c>
      <c r="K62" s="519">
        <v>92.63</v>
      </c>
    </row>
    <row r="63" spans="1:11" ht="46.2" x14ac:dyDescent="0.25">
      <c r="A63" s="743"/>
      <c r="B63" s="573" t="s">
        <v>820</v>
      </c>
      <c r="C63" s="574" t="s">
        <v>856</v>
      </c>
      <c r="D63" s="546" t="s">
        <v>857</v>
      </c>
      <c r="E63" s="757">
        <f>63821000/1000000</f>
        <v>63.820999999999998</v>
      </c>
      <c r="F63" s="757">
        <f>38624821.2/1000000</f>
        <v>38.6248212</v>
      </c>
      <c r="G63" s="575">
        <f>+F63/E63*100</f>
        <v>60.520551542595705</v>
      </c>
      <c r="H63" s="776" t="s">
        <v>1314</v>
      </c>
      <c r="I63" s="767">
        <v>0</v>
      </c>
      <c r="J63" s="516">
        <v>0</v>
      </c>
      <c r="K63" s="519">
        <v>0</v>
      </c>
    </row>
    <row r="64" spans="1:11" ht="60" x14ac:dyDescent="0.25">
      <c r="A64" s="745"/>
      <c r="B64" s="527"/>
      <c r="C64" s="528"/>
      <c r="D64" s="577" t="s">
        <v>858</v>
      </c>
      <c r="E64" s="759">
        <f>E65</f>
        <v>0.272675</v>
      </c>
      <c r="F64" s="759">
        <f t="shared" ref="F64" si="13">F65</f>
        <v>0.18511395999999999</v>
      </c>
      <c r="G64" s="738" t="s">
        <v>105</v>
      </c>
      <c r="H64" s="778" t="s">
        <v>105</v>
      </c>
      <c r="I64" s="769">
        <f>I65</f>
        <v>0.1179</v>
      </c>
      <c r="J64" s="530">
        <f t="shared" ref="J64:K64" si="14">J65</f>
        <v>0.10181061999999999</v>
      </c>
      <c r="K64" s="533">
        <f t="shared" si="14"/>
        <v>86.35</v>
      </c>
    </row>
    <row r="65" spans="1:11" ht="57.6" x14ac:dyDescent="0.25">
      <c r="A65" s="743"/>
      <c r="B65" s="573" t="s">
        <v>859</v>
      </c>
      <c r="C65" s="574" t="s">
        <v>860</v>
      </c>
      <c r="D65" s="546" t="s">
        <v>861</v>
      </c>
      <c r="E65" s="757">
        <f>272675/1000000</f>
        <v>0.272675</v>
      </c>
      <c r="F65" s="757">
        <f>185113.96/1000000</f>
        <v>0.18511395999999999</v>
      </c>
      <c r="G65" s="575">
        <f>+F65/E65*100</f>
        <v>67.88813055835702</v>
      </c>
      <c r="H65" s="782" t="s">
        <v>2452</v>
      </c>
      <c r="I65" s="767">
        <f>117900/1000000</f>
        <v>0.1179</v>
      </c>
      <c r="J65" s="516">
        <f>101810.62/1000000</f>
        <v>0.10181061999999999</v>
      </c>
      <c r="K65" s="519">
        <v>86.35</v>
      </c>
    </row>
    <row r="66" spans="1:11" x14ac:dyDescent="0.25">
      <c r="A66" s="745"/>
      <c r="B66" s="527"/>
      <c r="C66" s="528"/>
      <c r="D66" s="577" t="s">
        <v>862</v>
      </c>
      <c r="E66" s="759">
        <f>E67</f>
        <v>40.243662999999998</v>
      </c>
      <c r="F66" s="759">
        <f t="shared" ref="F66" si="15">F67</f>
        <v>31.309873</v>
      </c>
      <c r="G66" s="738" t="s">
        <v>105</v>
      </c>
      <c r="H66" s="778" t="s">
        <v>105</v>
      </c>
      <c r="I66" s="769">
        <f>I67</f>
        <v>44.56</v>
      </c>
      <c r="J66" s="530">
        <f>J67</f>
        <v>30.255542999999999</v>
      </c>
      <c r="K66" s="533">
        <f>K67</f>
        <v>67.900000000000006</v>
      </c>
    </row>
    <row r="67" spans="1:11" ht="34.799999999999997" x14ac:dyDescent="0.25">
      <c r="A67" s="743"/>
      <c r="B67" s="573" t="s">
        <v>765</v>
      </c>
      <c r="C67" s="574" t="s">
        <v>863</v>
      </c>
      <c r="D67" s="546" t="s">
        <v>864</v>
      </c>
      <c r="E67" s="757">
        <f>40243663/1000000</f>
        <v>40.243662999999998</v>
      </c>
      <c r="F67" s="757">
        <f>31309873/1000000</f>
        <v>31.309873</v>
      </c>
      <c r="G67" s="575">
        <f>+F67/E67*100</f>
        <v>77.800753375755079</v>
      </c>
      <c r="H67" s="783" t="s">
        <v>1313</v>
      </c>
      <c r="I67" s="767">
        <f>44560000/1000000</f>
        <v>44.56</v>
      </c>
      <c r="J67" s="516">
        <f>30255543/1000000</f>
        <v>30.255542999999999</v>
      </c>
      <c r="K67" s="519">
        <v>67.900000000000006</v>
      </c>
    </row>
    <row r="68" spans="1:11" ht="24" x14ac:dyDescent="0.25">
      <c r="A68" s="744"/>
      <c r="B68" s="520"/>
      <c r="C68" s="521"/>
      <c r="D68" s="576" t="s">
        <v>865</v>
      </c>
      <c r="E68" s="758">
        <f>E69</f>
        <v>0.32</v>
      </c>
      <c r="F68" s="758">
        <f t="shared" ref="F68" si="16">F69</f>
        <v>0.27600000000000002</v>
      </c>
      <c r="G68" s="524" t="s">
        <v>105</v>
      </c>
      <c r="H68" s="777" t="s">
        <v>105</v>
      </c>
      <c r="I68" s="768" t="s">
        <v>31</v>
      </c>
      <c r="J68" s="523" t="s">
        <v>31</v>
      </c>
      <c r="K68" s="526" t="s">
        <v>31</v>
      </c>
    </row>
    <row r="69" spans="1:11" ht="24" x14ac:dyDescent="0.25">
      <c r="A69" s="745"/>
      <c r="B69" s="527"/>
      <c r="C69" s="528"/>
      <c r="D69" s="577" t="s">
        <v>866</v>
      </c>
      <c r="E69" s="759">
        <f>E70</f>
        <v>0.32</v>
      </c>
      <c r="F69" s="759">
        <f>F70</f>
        <v>0.27600000000000002</v>
      </c>
      <c r="G69" s="531" t="s">
        <v>105</v>
      </c>
      <c r="H69" s="778" t="s">
        <v>105</v>
      </c>
      <c r="I69" s="769" t="s">
        <v>31</v>
      </c>
      <c r="J69" s="530" t="s">
        <v>31</v>
      </c>
      <c r="K69" s="533" t="s">
        <v>31</v>
      </c>
    </row>
    <row r="70" spans="1:11" ht="57.6" x14ac:dyDescent="0.25">
      <c r="A70" s="743"/>
      <c r="B70" s="573" t="s">
        <v>867</v>
      </c>
      <c r="C70" s="574" t="s">
        <v>868</v>
      </c>
      <c r="D70" s="546" t="s">
        <v>869</v>
      </c>
      <c r="E70" s="757">
        <f>320000/1000000</f>
        <v>0.32</v>
      </c>
      <c r="F70" s="757">
        <f>276000/1000000</f>
        <v>0.27600000000000002</v>
      </c>
      <c r="G70" s="575">
        <f>+F70/E70*100</f>
        <v>86.25</v>
      </c>
      <c r="H70" s="782" t="s">
        <v>1315</v>
      </c>
      <c r="I70" s="767" t="s">
        <v>31</v>
      </c>
      <c r="J70" s="516" t="s">
        <v>31</v>
      </c>
      <c r="K70" s="519" t="s">
        <v>31</v>
      </c>
    </row>
    <row r="71" spans="1:11" ht="24" x14ac:dyDescent="0.25">
      <c r="A71" s="751">
        <v>68</v>
      </c>
      <c r="B71" s="595"/>
      <c r="C71" s="596"/>
      <c r="D71" s="729" t="s">
        <v>870</v>
      </c>
      <c r="E71" s="761">
        <f>E72</f>
        <v>11.705</v>
      </c>
      <c r="F71" s="761">
        <f t="shared" ref="F71:G71" si="17">F72</f>
        <v>5.16572838</v>
      </c>
      <c r="G71" s="726" t="str">
        <f t="shared" si="17"/>
        <v>х</v>
      </c>
      <c r="H71" s="784" t="s">
        <v>105</v>
      </c>
      <c r="I71" s="771">
        <f>I72</f>
        <v>8.5030000000000001</v>
      </c>
      <c r="J71" s="594">
        <f t="shared" ref="J71:K71" si="18">J72</f>
        <v>6.6859999999999999</v>
      </c>
      <c r="K71" s="605">
        <f t="shared" si="18"/>
        <v>78.631071386569445</v>
      </c>
    </row>
    <row r="72" spans="1:11" ht="24" x14ac:dyDescent="0.25">
      <c r="A72" s="747"/>
      <c r="B72" s="585"/>
      <c r="C72" s="586"/>
      <c r="D72" s="587" t="s">
        <v>871</v>
      </c>
      <c r="E72" s="758">
        <f>E73+E74</f>
        <v>11.705</v>
      </c>
      <c r="F72" s="758">
        <f t="shared" ref="F72:J72" si="19">F73+F74</f>
        <v>5.16572838</v>
      </c>
      <c r="G72" s="728" t="s">
        <v>105</v>
      </c>
      <c r="H72" s="785" t="s">
        <v>105</v>
      </c>
      <c r="I72" s="768">
        <f t="shared" si="19"/>
        <v>8.5030000000000001</v>
      </c>
      <c r="J72" s="523">
        <f t="shared" si="19"/>
        <v>6.6859999999999999</v>
      </c>
      <c r="K72" s="526">
        <f>J72/I72*100</f>
        <v>78.631071386569445</v>
      </c>
    </row>
    <row r="73" spans="1:11" ht="46.2" x14ac:dyDescent="0.25">
      <c r="A73" s="743"/>
      <c r="B73" s="573" t="s">
        <v>735</v>
      </c>
      <c r="C73" s="574" t="s">
        <v>872</v>
      </c>
      <c r="D73" s="546" t="s">
        <v>873</v>
      </c>
      <c r="E73" s="757">
        <f>7240900/1000000</f>
        <v>7.2408999999999999</v>
      </c>
      <c r="F73" s="757">
        <f>2194398.5/1000000</f>
        <v>2.1943985000000001</v>
      </c>
      <c r="G73" s="575">
        <f>+F73/E73*100</f>
        <v>30.305604275711584</v>
      </c>
      <c r="H73" s="776" t="s">
        <v>737</v>
      </c>
      <c r="I73" s="767">
        <v>4.1989999999999998</v>
      </c>
      <c r="J73" s="516">
        <v>3.76</v>
      </c>
      <c r="K73" s="519">
        <f>J73/I73*100</f>
        <v>89.545129792807813</v>
      </c>
    </row>
    <row r="74" spans="1:11" ht="80.400000000000006" x14ac:dyDescent="0.25">
      <c r="A74" s="743"/>
      <c r="B74" s="573" t="s">
        <v>874</v>
      </c>
      <c r="C74" s="574" t="s">
        <v>875</v>
      </c>
      <c r="D74" s="546" t="s">
        <v>876</v>
      </c>
      <c r="E74" s="757">
        <f>4464100/1000000</f>
        <v>4.4641000000000002</v>
      </c>
      <c r="F74" s="757">
        <f>2971329.88/1000000</f>
        <v>2.9713298799999999</v>
      </c>
      <c r="G74" s="575">
        <f>+F74/E74*100</f>
        <v>66.560558231222416</v>
      </c>
      <c r="H74" s="776" t="s">
        <v>877</v>
      </c>
      <c r="I74" s="767">
        <v>4.3040000000000003</v>
      </c>
      <c r="J74" s="516">
        <v>2.9260000000000002</v>
      </c>
      <c r="K74" s="519">
        <f>J74/I74*100</f>
        <v>67.983271375464682</v>
      </c>
    </row>
    <row r="75" spans="1:11" ht="24" x14ac:dyDescent="0.25">
      <c r="A75" s="750" t="s">
        <v>878</v>
      </c>
      <c r="B75" s="534"/>
      <c r="C75" s="535"/>
      <c r="D75" s="593" t="s">
        <v>879</v>
      </c>
      <c r="E75" s="761">
        <f>E76</f>
        <v>0.11</v>
      </c>
      <c r="F75" s="761">
        <f t="shared" ref="F75:G77" si="20">F76</f>
        <v>6.5500000000000003E-2</v>
      </c>
      <c r="G75" s="730" t="str">
        <f t="shared" si="20"/>
        <v>х</v>
      </c>
      <c r="H75" s="774" t="s">
        <v>105</v>
      </c>
      <c r="I75" s="771" t="s">
        <v>31</v>
      </c>
      <c r="J75" s="594" t="s">
        <v>31</v>
      </c>
      <c r="K75" s="605" t="s">
        <v>31</v>
      </c>
    </row>
    <row r="76" spans="1:11" ht="24" x14ac:dyDescent="0.25">
      <c r="A76" s="744"/>
      <c r="B76" s="520"/>
      <c r="C76" s="521"/>
      <c r="D76" s="576" t="s">
        <v>880</v>
      </c>
      <c r="E76" s="758">
        <f>E77</f>
        <v>0.11</v>
      </c>
      <c r="F76" s="758">
        <f t="shared" si="20"/>
        <v>6.5500000000000003E-2</v>
      </c>
      <c r="G76" s="524" t="s">
        <v>105</v>
      </c>
      <c r="H76" s="785" t="s">
        <v>105</v>
      </c>
      <c r="I76" s="768" t="s">
        <v>31</v>
      </c>
      <c r="J76" s="523" t="s">
        <v>31</v>
      </c>
      <c r="K76" s="526" t="s">
        <v>31</v>
      </c>
    </row>
    <row r="77" spans="1:11" ht="50.25" customHeight="1" x14ac:dyDescent="0.25">
      <c r="A77" s="745"/>
      <c r="B77" s="527"/>
      <c r="C77" s="528"/>
      <c r="D77" s="577" t="s">
        <v>2453</v>
      </c>
      <c r="E77" s="759">
        <f>E78</f>
        <v>0.11</v>
      </c>
      <c r="F77" s="759">
        <f t="shared" si="20"/>
        <v>6.5500000000000003E-2</v>
      </c>
      <c r="G77" s="738" t="s">
        <v>105</v>
      </c>
      <c r="H77" s="786" t="s">
        <v>105</v>
      </c>
      <c r="I77" s="769" t="s">
        <v>31</v>
      </c>
      <c r="J77" s="530" t="s">
        <v>31</v>
      </c>
      <c r="K77" s="533" t="s">
        <v>31</v>
      </c>
    </row>
    <row r="78" spans="1:11" ht="23.4" x14ac:dyDescent="0.25">
      <c r="A78" s="743"/>
      <c r="B78" s="573" t="s">
        <v>793</v>
      </c>
      <c r="C78" s="808" t="s">
        <v>881</v>
      </c>
      <c r="D78" s="546" t="s">
        <v>795</v>
      </c>
      <c r="E78" s="757">
        <f>110000/1000000</f>
        <v>0.11</v>
      </c>
      <c r="F78" s="757">
        <f>65500/1000000</f>
        <v>6.5500000000000003E-2</v>
      </c>
      <c r="G78" s="575">
        <f>+F78/E78*100</f>
        <v>59.545454545454547</v>
      </c>
      <c r="H78" s="789" t="s">
        <v>1316</v>
      </c>
      <c r="I78" s="767" t="s">
        <v>31</v>
      </c>
      <c r="J78" s="516" t="s">
        <v>31</v>
      </c>
      <c r="K78" s="519" t="s">
        <v>31</v>
      </c>
    </row>
    <row r="79" spans="1:11" ht="24" x14ac:dyDescent="0.25">
      <c r="A79" s="750" t="s">
        <v>747</v>
      </c>
      <c r="B79" s="534"/>
      <c r="C79" s="535"/>
      <c r="D79" s="593" t="s">
        <v>748</v>
      </c>
      <c r="E79" s="761">
        <f>E80</f>
        <v>399.32028644999997</v>
      </c>
      <c r="F79" s="761">
        <f t="shared" ref="F79:G79" si="21">F80</f>
        <v>329.68863412000002</v>
      </c>
      <c r="G79" s="730" t="str">
        <f t="shared" si="21"/>
        <v>х</v>
      </c>
      <c r="H79" s="774" t="s">
        <v>105</v>
      </c>
      <c r="I79" s="771">
        <f>I80</f>
        <v>12.9</v>
      </c>
      <c r="J79" s="594">
        <f>J80</f>
        <v>11.308</v>
      </c>
      <c r="K79" s="605">
        <f>J79/I79*100</f>
        <v>87.658914728682163</v>
      </c>
    </row>
    <row r="80" spans="1:11" ht="24" x14ac:dyDescent="0.25">
      <c r="A80" s="744"/>
      <c r="B80" s="520"/>
      <c r="C80" s="521"/>
      <c r="D80" s="576" t="s">
        <v>725</v>
      </c>
      <c r="E80" s="758">
        <f>E81+E88</f>
        <v>399.32028644999997</v>
      </c>
      <c r="F80" s="758">
        <f t="shared" ref="F80" si="22">F81+F88</f>
        <v>329.68863412000002</v>
      </c>
      <c r="G80" s="727" t="s">
        <v>105</v>
      </c>
      <c r="H80" s="777" t="s">
        <v>105</v>
      </c>
      <c r="I80" s="768">
        <f>I81+I88</f>
        <v>12.9</v>
      </c>
      <c r="J80" s="523">
        <f>J81+J88</f>
        <v>11.308</v>
      </c>
      <c r="K80" s="526">
        <f>J80/I80*100</f>
        <v>87.658914728682163</v>
      </c>
    </row>
    <row r="81" spans="1:11" ht="24" x14ac:dyDescent="0.25">
      <c r="A81" s="745"/>
      <c r="B81" s="527"/>
      <c r="C81" s="528"/>
      <c r="D81" s="577" t="s">
        <v>882</v>
      </c>
      <c r="E81" s="759">
        <f>E82+E83+E84+E85+E86+E87</f>
        <v>387.78578644999999</v>
      </c>
      <c r="F81" s="759">
        <f>F82+F83+F84+F85+F86+F87</f>
        <v>322.61883991000002</v>
      </c>
      <c r="G81" s="731" t="s">
        <v>105</v>
      </c>
      <c r="H81" s="778" t="s">
        <v>105</v>
      </c>
      <c r="I81" s="769">
        <f>I82+I83+I84+I85+I86+I87</f>
        <v>2</v>
      </c>
      <c r="J81" s="530">
        <f>J82+J83+J84+J85+J86+J87</f>
        <v>1.75</v>
      </c>
      <c r="K81" s="533">
        <f>J81/I81*100</f>
        <v>87.5</v>
      </c>
    </row>
    <row r="82" spans="1:11" ht="23.4" x14ac:dyDescent="0.25">
      <c r="A82" s="743"/>
      <c r="B82" s="573" t="s">
        <v>883</v>
      </c>
      <c r="C82" s="574" t="s">
        <v>884</v>
      </c>
      <c r="D82" s="546" t="s">
        <v>723</v>
      </c>
      <c r="E82" s="757">
        <f>26292000/1000000</f>
        <v>26.292000000000002</v>
      </c>
      <c r="F82" s="757">
        <f>21998140.46/1000000</f>
        <v>21.998140460000002</v>
      </c>
      <c r="G82" s="575">
        <f t="shared" ref="G82:G87" si="23">+F82/E82*100</f>
        <v>83.668570135402405</v>
      </c>
      <c r="H82" s="787" t="s">
        <v>840</v>
      </c>
      <c r="I82" s="767">
        <v>0</v>
      </c>
      <c r="J82" s="516">
        <v>0</v>
      </c>
      <c r="K82" s="519">
        <v>0</v>
      </c>
    </row>
    <row r="83" spans="1:11" ht="69" x14ac:dyDescent="0.25">
      <c r="A83" s="743"/>
      <c r="B83" s="573" t="s">
        <v>883</v>
      </c>
      <c r="C83" s="574" t="s">
        <v>885</v>
      </c>
      <c r="D83" s="546" t="s">
        <v>886</v>
      </c>
      <c r="E83" s="757">
        <f>192000/1000000</f>
        <v>0.192</v>
      </c>
      <c r="F83" s="757">
        <f>66254.25/1000000</f>
        <v>6.6254250000000001E-2</v>
      </c>
      <c r="G83" s="575">
        <f t="shared" si="23"/>
        <v>34.507421874999999</v>
      </c>
      <c r="H83" s="787" t="s">
        <v>840</v>
      </c>
      <c r="I83" s="767">
        <v>0</v>
      </c>
      <c r="J83" s="516">
        <v>0</v>
      </c>
      <c r="K83" s="519">
        <v>0</v>
      </c>
    </row>
    <row r="84" spans="1:11" ht="34.799999999999997" x14ac:dyDescent="0.25">
      <c r="A84" s="743"/>
      <c r="B84" s="573" t="s">
        <v>883</v>
      </c>
      <c r="C84" s="574" t="s">
        <v>887</v>
      </c>
      <c r="D84" s="546" t="s">
        <v>888</v>
      </c>
      <c r="E84" s="757">
        <f>29985714.29/1000000</f>
        <v>29.985714290000001</v>
      </c>
      <c r="F84" s="757">
        <f>26305933.84/1000000</f>
        <v>26.305933840000002</v>
      </c>
      <c r="G84" s="575">
        <f t="shared" si="23"/>
        <v>87.728221464355187</v>
      </c>
      <c r="H84" s="787" t="s">
        <v>840</v>
      </c>
      <c r="I84" s="767">
        <v>0</v>
      </c>
      <c r="J84" s="516">
        <v>0</v>
      </c>
      <c r="K84" s="519">
        <v>0</v>
      </c>
    </row>
    <row r="85" spans="1:11" ht="46.2" x14ac:dyDescent="0.25">
      <c r="A85" s="743"/>
      <c r="B85" s="573" t="s">
        <v>765</v>
      </c>
      <c r="C85" s="574" t="s">
        <v>889</v>
      </c>
      <c r="D85" s="546" t="s">
        <v>890</v>
      </c>
      <c r="E85" s="757">
        <f>1215200/1000000</f>
        <v>1.2152000000000001</v>
      </c>
      <c r="F85" s="757">
        <f>1051661.49/1000000</f>
        <v>1.0516614900000001</v>
      </c>
      <c r="G85" s="575">
        <f t="shared" si="23"/>
        <v>86.542255595786713</v>
      </c>
      <c r="H85" s="787" t="s">
        <v>840</v>
      </c>
      <c r="I85" s="767">
        <v>2</v>
      </c>
      <c r="J85" s="516">
        <v>1.75</v>
      </c>
      <c r="K85" s="519">
        <f>J85/I85*100</f>
        <v>87.5</v>
      </c>
    </row>
    <row r="86" spans="1:11" ht="46.2" x14ac:dyDescent="0.25">
      <c r="A86" s="743"/>
      <c r="B86" s="573" t="s">
        <v>765</v>
      </c>
      <c r="C86" s="574" t="s">
        <v>891</v>
      </c>
      <c r="D86" s="546" t="s">
        <v>892</v>
      </c>
      <c r="E86" s="757">
        <f>18177800/1000000</f>
        <v>18.177800000000001</v>
      </c>
      <c r="F86" s="757">
        <f>14966484.15/1000000</f>
        <v>14.966484150000001</v>
      </c>
      <c r="G86" s="575">
        <f t="shared" si="23"/>
        <v>82.333858607752319</v>
      </c>
      <c r="H86" s="787" t="s">
        <v>840</v>
      </c>
      <c r="I86" s="767">
        <v>0</v>
      </c>
      <c r="J86" s="516">
        <v>0</v>
      </c>
      <c r="K86" s="519">
        <v>0</v>
      </c>
    </row>
    <row r="87" spans="1:11" ht="34.799999999999997" x14ac:dyDescent="0.25">
      <c r="A87" s="743"/>
      <c r="B87" s="573" t="s">
        <v>765</v>
      </c>
      <c r="C87" s="574" t="s">
        <v>893</v>
      </c>
      <c r="D87" s="546" t="s">
        <v>894</v>
      </c>
      <c r="E87" s="757">
        <f>311923072.16/1000000</f>
        <v>311.92307216</v>
      </c>
      <c r="F87" s="757">
        <f>258230365.72/1000000</f>
        <v>258.23036572000001</v>
      </c>
      <c r="G87" s="575">
        <f t="shared" si="23"/>
        <v>82.786555009159926</v>
      </c>
      <c r="H87" s="787" t="s">
        <v>840</v>
      </c>
      <c r="I87" s="767">
        <v>0</v>
      </c>
      <c r="J87" s="516">
        <v>0</v>
      </c>
      <c r="K87" s="519">
        <v>0</v>
      </c>
    </row>
    <row r="88" spans="1:11" ht="60" x14ac:dyDescent="0.25">
      <c r="A88" s="745"/>
      <c r="B88" s="527"/>
      <c r="C88" s="528"/>
      <c r="D88" s="597" t="s">
        <v>749</v>
      </c>
      <c r="E88" s="759">
        <f>E89</f>
        <v>11.5345</v>
      </c>
      <c r="F88" s="759">
        <f t="shared" ref="F88" si="24">F89</f>
        <v>7.0697942099999995</v>
      </c>
      <c r="G88" s="738" t="s">
        <v>105</v>
      </c>
      <c r="H88" s="778" t="s">
        <v>105</v>
      </c>
      <c r="I88" s="769">
        <f>I89</f>
        <v>10.9</v>
      </c>
      <c r="J88" s="530">
        <f>J89</f>
        <v>9.5579999999999998</v>
      </c>
      <c r="K88" s="533">
        <f>J88/I88*100</f>
        <v>87.688073394495419</v>
      </c>
    </row>
    <row r="89" spans="1:11" ht="34.799999999999997" x14ac:dyDescent="0.25">
      <c r="A89" s="743"/>
      <c r="B89" s="573" t="s">
        <v>765</v>
      </c>
      <c r="C89" s="574" t="s">
        <v>895</v>
      </c>
      <c r="D89" s="578" t="s">
        <v>896</v>
      </c>
      <c r="E89" s="757">
        <f>11534500/1000000</f>
        <v>11.5345</v>
      </c>
      <c r="F89" s="757">
        <f>7069794.21/1000000</f>
        <v>7.0697942099999995</v>
      </c>
      <c r="G89" s="575">
        <f>+F89/E89*100</f>
        <v>61.29259361047292</v>
      </c>
      <c r="H89" s="776" t="s">
        <v>840</v>
      </c>
      <c r="I89" s="767">
        <v>10.9</v>
      </c>
      <c r="J89" s="516">
        <v>9.5579999999999998</v>
      </c>
      <c r="K89" s="519">
        <f>J89/I89*100</f>
        <v>87.688073394495419</v>
      </c>
    </row>
    <row r="90" spans="1:11" x14ac:dyDescent="0.25">
      <c r="A90" s="750" t="s">
        <v>752</v>
      </c>
      <c r="B90" s="534"/>
      <c r="C90" s="535"/>
      <c r="D90" s="604" t="s">
        <v>753</v>
      </c>
      <c r="E90" s="761">
        <f>E91</f>
        <v>0.5</v>
      </c>
      <c r="F90" s="761">
        <f t="shared" ref="F90:G92" si="25">F91</f>
        <v>0.40623490000000001</v>
      </c>
      <c r="G90" s="730" t="str">
        <f t="shared" si="25"/>
        <v>х</v>
      </c>
      <c r="H90" s="774" t="s">
        <v>105</v>
      </c>
      <c r="I90" s="771">
        <f>I91</f>
        <v>0.5</v>
      </c>
      <c r="J90" s="594">
        <f t="shared" ref="J90:K92" si="26">J91</f>
        <v>0.5</v>
      </c>
      <c r="K90" s="605">
        <f t="shared" si="26"/>
        <v>100</v>
      </c>
    </row>
    <row r="91" spans="1:11" ht="36" x14ac:dyDescent="0.25">
      <c r="A91" s="744"/>
      <c r="B91" s="520"/>
      <c r="C91" s="521"/>
      <c r="D91" s="598" t="s">
        <v>897</v>
      </c>
      <c r="E91" s="758">
        <f>E92</f>
        <v>0.5</v>
      </c>
      <c r="F91" s="758">
        <f t="shared" si="25"/>
        <v>0.40623490000000001</v>
      </c>
      <c r="G91" s="524" t="s">
        <v>105</v>
      </c>
      <c r="H91" s="777" t="s">
        <v>105</v>
      </c>
      <c r="I91" s="768">
        <f>I92</f>
        <v>0.5</v>
      </c>
      <c r="J91" s="523">
        <f t="shared" si="26"/>
        <v>0.5</v>
      </c>
      <c r="K91" s="526">
        <f t="shared" si="26"/>
        <v>100</v>
      </c>
    </row>
    <row r="92" spans="1:11" ht="36" x14ac:dyDescent="0.25">
      <c r="A92" s="745"/>
      <c r="B92" s="527"/>
      <c r="C92" s="528"/>
      <c r="D92" s="597" t="s">
        <v>898</v>
      </c>
      <c r="E92" s="759">
        <f>E93</f>
        <v>0.5</v>
      </c>
      <c r="F92" s="759">
        <f t="shared" si="25"/>
        <v>0.40623490000000001</v>
      </c>
      <c r="G92" s="531" t="s">
        <v>105</v>
      </c>
      <c r="H92" s="778" t="s">
        <v>105</v>
      </c>
      <c r="I92" s="769">
        <f>I93</f>
        <v>0.5</v>
      </c>
      <c r="J92" s="530">
        <f t="shared" si="26"/>
        <v>0.5</v>
      </c>
      <c r="K92" s="533">
        <f t="shared" si="26"/>
        <v>100</v>
      </c>
    </row>
    <row r="93" spans="1:11" ht="69" x14ac:dyDescent="0.25">
      <c r="A93" s="743"/>
      <c r="B93" s="573" t="s">
        <v>899</v>
      </c>
      <c r="C93" s="574" t="s">
        <v>900</v>
      </c>
      <c r="D93" s="546" t="s">
        <v>901</v>
      </c>
      <c r="E93" s="757">
        <f>500000/1000000</f>
        <v>0.5</v>
      </c>
      <c r="F93" s="757">
        <f>406234.9/1000000</f>
        <v>0.40623490000000001</v>
      </c>
      <c r="G93" s="575">
        <f>+F93/E93*100</f>
        <v>81.246980000000008</v>
      </c>
      <c r="H93" s="776" t="s">
        <v>729</v>
      </c>
      <c r="I93" s="767">
        <v>0.5</v>
      </c>
      <c r="J93" s="516">
        <v>0.5</v>
      </c>
      <c r="K93" s="519">
        <f>J93/I93*100</f>
        <v>100</v>
      </c>
    </row>
    <row r="94" spans="1:11" x14ac:dyDescent="0.25">
      <c r="A94" s="750" t="s">
        <v>902</v>
      </c>
      <c r="B94" s="534"/>
      <c r="C94" s="535"/>
      <c r="D94" s="593" t="s">
        <v>903</v>
      </c>
      <c r="E94" s="761">
        <f>E95</f>
        <v>388.49440600000003</v>
      </c>
      <c r="F94" s="761">
        <f t="shared" ref="F94:G94" si="27">F95</f>
        <v>223.46266233</v>
      </c>
      <c r="G94" s="726" t="str">
        <f t="shared" si="27"/>
        <v>х</v>
      </c>
      <c r="H94" s="774" t="s">
        <v>105</v>
      </c>
      <c r="I94" s="771">
        <f>I95</f>
        <v>136.179</v>
      </c>
      <c r="J94" s="594">
        <f t="shared" ref="J94:K94" si="28">J95</f>
        <v>126.889</v>
      </c>
      <c r="K94" s="605">
        <f t="shared" si="28"/>
        <v>93.17809647596178</v>
      </c>
    </row>
    <row r="95" spans="1:11" ht="24" x14ac:dyDescent="0.25">
      <c r="A95" s="744"/>
      <c r="B95" s="520"/>
      <c r="C95" s="521"/>
      <c r="D95" s="576" t="s">
        <v>865</v>
      </c>
      <c r="E95" s="758">
        <f>E96+E98+E104+E106+E110+E112</f>
        <v>388.49440600000003</v>
      </c>
      <c r="F95" s="758">
        <f t="shared" ref="F95" si="29">F96+F98+F104+F106+F110+F112</f>
        <v>223.46266233</v>
      </c>
      <c r="G95" s="727" t="s">
        <v>105</v>
      </c>
      <c r="H95" s="777" t="s">
        <v>105</v>
      </c>
      <c r="I95" s="768">
        <f>I96+I98+I106+I110+I112</f>
        <v>136.179</v>
      </c>
      <c r="J95" s="523">
        <f>J96+J98+J106+J110+J112</f>
        <v>126.889</v>
      </c>
      <c r="K95" s="526">
        <f>J95/I95*100</f>
        <v>93.17809647596178</v>
      </c>
    </row>
    <row r="96" spans="1:11" ht="24" x14ac:dyDescent="0.25">
      <c r="A96" s="745"/>
      <c r="B96" s="527"/>
      <c r="C96" s="528"/>
      <c r="D96" s="577" t="s">
        <v>904</v>
      </c>
      <c r="E96" s="759">
        <f>E97</f>
        <v>7.0116810000000003</v>
      </c>
      <c r="F96" s="759">
        <f t="shared" ref="F96" si="30">F97</f>
        <v>5.9238555999999996</v>
      </c>
      <c r="G96" s="738" t="s">
        <v>105</v>
      </c>
      <c r="H96" s="778" t="s">
        <v>105</v>
      </c>
      <c r="I96" s="769">
        <f>I97</f>
        <v>6.8490000000000002</v>
      </c>
      <c r="J96" s="530">
        <f>J97</f>
        <v>6.4749999999999996</v>
      </c>
      <c r="K96" s="533">
        <f>J96/I96*100</f>
        <v>94.539348810045254</v>
      </c>
    </row>
    <row r="97" spans="1:11" ht="103.2" x14ac:dyDescent="0.25">
      <c r="A97" s="743"/>
      <c r="B97" s="573" t="s">
        <v>781</v>
      </c>
      <c r="C97" s="574" t="s">
        <v>905</v>
      </c>
      <c r="D97" s="546" t="s">
        <v>906</v>
      </c>
      <c r="E97" s="757">
        <f>7011681/1000000</f>
        <v>7.0116810000000003</v>
      </c>
      <c r="F97" s="757">
        <f>5923855.6/1000000</f>
        <v>5.9238555999999996</v>
      </c>
      <c r="G97" s="575">
        <f>+F97/E97*100</f>
        <v>84.48552636664445</v>
      </c>
      <c r="H97" s="782" t="s">
        <v>907</v>
      </c>
      <c r="I97" s="767">
        <v>6.8490000000000002</v>
      </c>
      <c r="J97" s="516">
        <v>6.4749999999999996</v>
      </c>
      <c r="K97" s="519">
        <f>J97/I97*100</f>
        <v>94.539348810045254</v>
      </c>
    </row>
    <row r="98" spans="1:11" ht="36" x14ac:dyDescent="0.25">
      <c r="A98" s="745"/>
      <c r="B98" s="527"/>
      <c r="C98" s="528"/>
      <c r="D98" s="577" t="s">
        <v>908</v>
      </c>
      <c r="E98" s="759">
        <f>E99+E100+E101+E102+E103</f>
        <v>71.125380000000007</v>
      </c>
      <c r="F98" s="759">
        <f t="shared" ref="F98" si="31">F99+F100+F101+F102+F103</f>
        <v>11.371636810000002</v>
      </c>
      <c r="G98" s="731" t="s">
        <v>105</v>
      </c>
      <c r="H98" s="778" t="s">
        <v>105</v>
      </c>
      <c r="I98" s="769">
        <f>I99+I100+I101+I102+I103</f>
        <v>23.202999999999999</v>
      </c>
      <c r="J98" s="530">
        <f>J99+J100+J101+J102+J103</f>
        <v>20.687000000000001</v>
      </c>
      <c r="K98" s="533">
        <f>J98/I98*100</f>
        <v>89.156574580873169</v>
      </c>
    </row>
    <row r="99" spans="1:11" ht="23.4" x14ac:dyDescent="0.25">
      <c r="A99" s="743"/>
      <c r="B99" s="573" t="s">
        <v>781</v>
      </c>
      <c r="C99" s="574" t="s">
        <v>909</v>
      </c>
      <c r="D99" s="546" t="s">
        <v>1317</v>
      </c>
      <c r="E99" s="757">
        <f>1379854/1000000</f>
        <v>1.3798539999999999</v>
      </c>
      <c r="F99" s="757">
        <f>718421.42/1000000</f>
        <v>0.71842142000000009</v>
      </c>
      <c r="G99" s="575">
        <f>+F99/E99*100</f>
        <v>52.065031517827251</v>
      </c>
      <c r="H99" s="776" t="s">
        <v>840</v>
      </c>
      <c r="I99" s="767">
        <v>3.2029999999999998</v>
      </c>
      <c r="J99" s="516">
        <v>0.68700000000000006</v>
      </c>
      <c r="K99" s="519">
        <f>J99/I99*100</f>
        <v>21.448641898220423</v>
      </c>
    </row>
    <row r="100" spans="1:11" ht="80.400000000000006" x14ac:dyDescent="0.25">
      <c r="A100" s="743"/>
      <c r="B100" s="573" t="s">
        <v>781</v>
      </c>
      <c r="C100" s="574" t="s">
        <v>910</v>
      </c>
      <c r="D100" s="546" t="s">
        <v>1318</v>
      </c>
      <c r="E100" s="757">
        <f>7384500/1000000</f>
        <v>7.3845000000000001</v>
      </c>
      <c r="F100" s="757">
        <f>6138332.16/1000000</f>
        <v>6.13833216</v>
      </c>
      <c r="G100" s="575">
        <f>+F100/E100*100</f>
        <v>83.124546821044078</v>
      </c>
      <c r="H100" s="776" t="s">
        <v>1319</v>
      </c>
      <c r="I100" s="767">
        <v>0</v>
      </c>
      <c r="J100" s="516">
        <v>0</v>
      </c>
      <c r="K100" s="519">
        <v>0</v>
      </c>
    </row>
    <row r="101" spans="1:11" ht="46.2" x14ac:dyDescent="0.25">
      <c r="A101" s="743"/>
      <c r="B101" s="573" t="s">
        <v>781</v>
      </c>
      <c r="C101" s="574" t="s">
        <v>911</v>
      </c>
      <c r="D101" s="546" t="s">
        <v>1320</v>
      </c>
      <c r="E101" s="757">
        <f>648300/1000000</f>
        <v>0.64829999999999999</v>
      </c>
      <c r="F101" s="757">
        <f>444756.82/1000000</f>
        <v>0.44475682</v>
      </c>
      <c r="G101" s="575">
        <f>+F101/E101*100</f>
        <v>68.603550825235232</v>
      </c>
      <c r="H101" s="776" t="s">
        <v>840</v>
      </c>
      <c r="I101" s="767">
        <v>0</v>
      </c>
      <c r="J101" s="516">
        <v>0</v>
      </c>
      <c r="K101" s="519">
        <v>0</v>
      </c>
    </row>
    <row r="102" spans="1:11" ht="46.2" x14ac:dyDescent="0.25">
      <c r="A102" s="743"/>
      <c r="B102" s="573" t="s">
        <v>912</v>
      </c>
      <c r="C102" s="574" t="s">
        <v>913</v>
      </c>
      <c r="D102" s="546" t="s">
        <v>914</v>
      </c>
      <c r="E102" s="757">
        <f>60000000/1000000</f>
        <v>60</v>
      </c>
      <c r="F102" s="757">
        <f>3062280.41/1000000</f>
        <v>3.0622804100000001</v>
      </c>
      <c r="G102" s="575">
        <f>+F102/E102*100</f>
        <v>5.1038006833333336</v>
      </c>
      <c r="H102" s="776" t="s">
        <v>915</v>
      </c>
      <c r="I102" s="767">
        <v>20</v>
      </c>
      <c r="J102" s="516">
        <v>20</v>
      </c>
      <c r="K102" s="519">
        <f>J102/I102*100</f>
        <v>100</v>
      </c>
    </row>
    <row r="103" spans="1:11" ht="91.8" x14ac:dyDescent="0.25">
      <c r="A103" s="743"/>
      <c r="B103" s="573" t="s">
        <v>912</v>
      </c>
      <c r="C103" s="574" t="s">
        <v>916</v>
      </c>
      <c r="D103" s="546" t="s">
        <v>917</v>
      </c>
      <c r="E103" s="757">
        <f>1712726/1000000</f>
        <v>1.712726</v>
      </c>
      <c r="F103" s="757">
        <f>1007846/1000000</f>
        <v>1.007846</v>
      </c>
      <c r="G103" s="575">
        <f>+F103/E103*100</f>
        <v>58.844555404659005</v>
      </c>
      <c r="H103" s="776" t="s">
        <v>918</v>
      </c>
      <c r="I103" s="767">
        <v>0</v>
      </c>
      <c r="J103" s="516">
        <v>0</v>
      </c>
      <c r="K103" s="519">
        <v>0</v>
      </c>
    </row>
    <row r="104" spans="1:11" ht="36" x14ac:dyDescent="0.25">
      <c r="A104" s="745"/>
      <c r="B104" s="527"/>
      <c r="C104" s="528"/>
      <c r="D104" s="577" t="s">
        <v>919</v>
      </c>
      <c r="E104" s="759">
        <f>E105</f>
        <v>4</v>
      </c>
      <c r="F104" s="759">
        <f t="shared" ref="F104" si="32">F105</f>
        <v>1.44</v>
      </c>
      <c r="G104" s="738" t="s">
        <v>105</v>
      </c>
      <c r="H104" s="778" t="s">
        <v>105</v>
      </c>
      <c r="I104" s="769" t="s">
        <v>31</v>
      </c>
      <c r="J104" s="530" t="s">
        <v>31</v>
      </c>
      <c r="K104" s="533" t="s">
        <v>31</v>
      </c>
    </row>
    <row r="105" spans="1:11" ht="57.6" x14ac:dyDescent="0.25">
      <c r="A105" s="743"/>
      <c r="B105" s="573" t="s">
        <v>912</v>
      </c>
      <c r="C105" s="574" t="s">
        <v>920</v>
      </c>
      <c r="D105" s="546" t="s">
        <v>921</v>
      </c>
      <c r="E105" s="757">
        <f>4000000/1000000</f>
        <v>4</v>
      </c>
      <c r="F105" s="757">
        <f>1440000/1000000</f>
        <v>1.44</v>
      </c>
      <c r="G105" s="575">
        <f>+F105/E105*100</f>
        <v>36</v>
      </c>
      <c r="H105" s="782" t="s">
        <v>922</v>
      </c>
      <c r="I105" s="767" t="s">
        <v>31</v>
      </c>
      <c r="J105" s="516" t="s">
        <v>31</v>
      </c>
      <c r="K105" s="519" t="s">
        <v>31</v>
      </c>
    </row>
    <row r="106" spans="1:11" ht="48" x14ac:dyDescent="0.25">
      <c r="A106" s="745"/>
      <c r="B106" s="527"/>
      <c r="C106" s="528"/>
      <c r="D106" s="577" t="s">
        <v>923</v>
      </c>
      <c r="E106" s="759">
        <f>E107+E108+E109</f>
        <v>61.412244999999999</v>
      </c>
      <c r="F106" s="759">
        <f t="shared" ref="F106" si="33">F107+F108+F109</f>
        <v>44.279932899999999</v>
      </c>
      <c r="G106" s="731" t="s">
        <v>105</v>
      </c>
      <c r="H106" s="778" t="s">
        <v>105</v>
      </c>
      <c r="I106" s="769">
        <f>I107+I108+I109</f>
        <v>27.979000000000003</v>
      </c>
      <c r="J106" s="530">
        <f>J107+J108+J109</f>
        <v>24.579000000000001</v>
      </c>
      <c r="K106" s="533">
        <f>J106/I106*100</f>
        <v>87.848028878801955</v>
      </c>
    </row>
    <row r="107" spans="1:11" ht="160.19999999999999" x14ac:dyDescent="0.25">
      <c r="A107" s="743"/>
      <c r="B107" s="573" t="s">
        <v>912</v>
      </c>
      <c r="C107" s="574" t="s">
        <v>924</v>
      </c>
      <c r="D107" s="546" t="s">
        <v>1321</v>
      </c>
      <c r="E107" s="757">
        <f>29903800/1000000</f>
        <v>29.9038</v>
      </c>
      <c r="F107" s="757">
        <f>24898834.5/1000000</f>
        <v>24.8988345</v>
      </c>
      <c r="G107" s="575">
        <f>+F107/E107*100</f>
        <v>83.26311204596071</v>
      </c>
      <c r="H107" s="776" t="s">
        <v>926</v>
      </c>
      <c r="I107" s="767">
        <v>10.702</v>
      </c>
      <c r="J107" s="516">
        <v>10.702</v>
      </c>
      <c r="K107" s="519">
        <f>J107/I107*100</f>
        <v>100</v>
      </c>
    </row>
    <row r="108" spans="1:11" ht="57.6" x14ac:dyDescent="0.25">
      <c r="A108" s="743"/>
      <c r="B108" s="573" t="s">
        <v>912</v>
      </c>
      <c r="C108" s="574" t="s">
        <v>927</v>
      </c>
      <c r="D108" s="546" t="s">
        <v>1322</v>
      </c>
      <c r="E108" s="757">
        <f>15785700/1000000</f>
        <v>15.7857</v>
      </c>
      <c r="F108" s="757">
        <f>8257584.7/1000000</f>
        <v>8.2575847000000007</v>
      </c>
      <c r="G108" s="575">
        <f>+F108/E108*100</f>
        <v>52.31053865207118</v>
      </c>
      <c r="H108" s="776" t="s">
        <v>840</v>
      </c>
      <c r="I108" s="767">
        <v>10.477</v>
      </c>
      <c r="J108" s="516">
        <v>8.6229999999999993</v>
      </c>
      <c r="K108" s="519">
        <f t="shared" ref="K108:K119" si="34">J108/I108*100</f>
        <v>82.304094683592623</v>
      </c>
    </row>
    <row r="109" spans="1:11" ht="23.4" x14ac:dyDescent="0.25">
      <c r="A109" s="743"/>
      <c r="B109" s="573" t="s">
        <v>912</v>
      </c>
      <c r="C109" s="574" t="s">
        <v>928</v>
      </c>
      <c r="D109" s="546" t="s">
        <v>925</v>
      </c>
      <c r="E109" s="757">
        <f>15722745/1000000</f>
        <v>15.722745</v>
      </c>
      <c r="F109" s="757">
        <f>11123513.7/1000000</f>
        <v>11.123513699999998</v>
      </c>
      <c r="G109" s="575">
        <f>+F109/E109*100</f>
        <v>70.747911385702679</v>
      </c>
      <c r="H109" s="776" t="s">
        <v>840</v>
      </c>
      <c r="I109" s="767">
        <v>6.8</v>
      </c>
      <c r="J109" s="516">
        <v>5.2539999999999996</v>
      </c>
      <c r="K109" s="519">
        <f t="shared" si="34"/>
        <v>77.264705882352942</v>
      </c>
    </row>
    <row r="110" spans="1:11" ht="36" x14ac:dyDescent="0.25">
      <c r="A110" s="745"/>
      <c r="B110" s="527"/>
      <c r="C110" s="528"/>
      <c r="D110" s="577" t="s">
        <v>929</v>
      </c>
      <c r="E110" s="759">
        <f>E111</f>
        <v>58.445099999999996</v>
      </c>
      <c r="F110" s="759">
        <f t="shared" ref="F110" si="35">F111</f>
        <v>44.638888020000003</v>
      </c>
      <c r="G110" s="738" t="s">
        <v>105</v>
      </c>
      <c r="H110" s="778" t="s">
        <v>105</v>
      </c>
      <c r="I110" s="769">
        <f>I111</f>
        <v>9.6479999999999997</v>
      </c>
      <c r="J110" s="530">
        <f>J111</f>
        <v>9.6479999999999997</v>
      </c>
      <c r="K110" s="533">
        <f t="shared" si="34"/>
        <v>100</v>
      </c>
    </row>
    <row r="111" spans="1:11" ht="23.4" x14ac:dyDescent="0.25">
      <c r="A111" s="743"/>
      <c r="B111" s="573" t="s">
        <v>912</v>
      </c>
      <c r="C111" s="574" t="s">
        <v>930</v>
      </c>
      <c r="D111" s="546" t="s">
        <v>931</v>
      </c>
      <c r="E111" s="757">
        <f>58445100/1000000</f>
        <v>58.445099999999996</v>
      </c>
      <c r="F111" s="757">
        <f>44638888.02/1000000</f>
        <v>44.638888020000003</v>
      </c>
      <c r="G111" s="575">
        <f>+F111/E111*100</f>
        <v>76.377468804057145</v>
      </c>
      <c r="H111" s="782" t="s">
        <v>932</v>
      </c>
      <c r="I111" s="767">
        <v>9.6479999999999997</v>
      </c>
      <c r="J111" s="516">
        <v>9.6479999999999997</v>
      </c>
      <c r="K111" s="519">
        <f t="shared" si="34"/>
        <v>100</v>
      </c>
    </row>
    <row r="112" spans="1:11" ht="24" x14ac:dyDescent="0.25">
      <c r="A112" s="745"/>
      <c r="B112" s="527"/>
      <c r="C112" s="528"/>
      <c r="D112" s="577" t="s">
        <v>866</v>
      </c>
      <c r="E112" s="759">
        <f>E113</f>
        <v>186.5</v>
      </c>
      <c r="F112" s="759">
        <f t="shared" ref="F112" si="36">F113</f>
        <v>115.80834900000001</v>
      </c>
      <c r="G112" s="738" t="s">
        <v>105</v>
      </c>
      <c r="H112" s="778" t="s">
        <v>105</v>
      </c>
      <c r="I112" s="769">
        <f>I113</f>
        <v>68.5</v>
      </c>
      <c r="J112" s="530">
        <f>J113</f>
        <v>65.5</v>
      </c>
      <c r="K112" s="533">
        <f t="shared" si="34"/>
        <v>95.620437956204384</v>
      </c>
    </row>
    <row r="113" spans="1:12" ht="46.2" x14ac:dyDescent="0.25">
      <c r="A113" s="743"/>
      <c r="B113" s="573" t="s">
        <v>912</v>
      </c>
      <c r="C113" s="574" t="s">
        <v>933</v>
      </c>
      <c r="D113" s="546" t="s">
        <v>934</v>
      </c>
      <c r="E113" s="757">
        <f>186500000/1000000</f>
        <v>186.5</v>
      </c>
      <c r="F113" s="757">
        <f>115808349/1000000</f>
        <v>115.80834900000001</v>
      </c>
      <c r="G113" s="575">
        <f>+F113/E113*100</f>
        <v>62.095629490616624</v>
      </c>
      <c r="H113" s="782" t="s">
        <v>840</v>
      </c>
      <c r="I113" s="767">
        <v>68.5</v>
      </c>
      <c r="J113" s="516">
        <v>65.5</v>
      </c>
      <c r="K113" s="519">
        <f t="shared" si="34"/>
        <v>95.620437956204384</v>
      </c>
    </row>
    <row r="114" spans="1:12" ht="24" x14ac:dyDescent="0.25">
      <c r="A114" s="750" t="s">
        <v>761</v>
      </c>
      <c r="B114" s="534"/>
      <c r="C114" s="535"/>
      <c r="D114" s="593" t="s">
        <v>762</v>
      </c>
      <c r="E114" s="761">
        <f>E115+E129</f>
        <v>1349.1897799999999</v>
      </c>
      <c r="F114" s="761">
        <f>F115+F129</f>
        <v>1082.02371251</v>
      </c>
      <c r="G114" s="726" t="s">
        <v>105</v>
      </c>
      <c r="H114" s="774" t="s">
        <v>105</v>
      </c>
      <c r="I114" s="771">
        <f>I115+I129</f>
        <v>173.80099999999999</v>
      </c>
      <c r="J114" s="594">
        <f>J115+J129</f>
        <v>123.49700000000001</v>
      </c>
      <c r="K114" s="605">
        <f t="shared" si="34"/>
        <v>71.05655318438906</v>
      </c>
    </row>
    <row r="115" spans="1:12" ht="36" x14ac:dyDescent="0.25">
      <c r="A115" s="744"/>
      <c r="B115" s="520"/>
      <c r="C115" s="521"/>
      <c r="D115" s="576" t="s">
        <v>935</v>
      </c>
      <c r="E115" s="758">
        <f>E116+E124+E126</f>
        <v>92.668980000000005</v>
      </c>
      <c r="F115" s="758">
        <f t="shared" ref="F115" si="37">F116+F124+F126</f>
        <v>71.421325400000001</v>
      </c>
      <c r="G115" s="727" t="s">
        <v>105</v>
      </c>
      <c r="H115" s="777" t="s">
        <v>105</v>
      </c>
      <c r="I115" s="768">
        <f>I116+I124+I126</f>
        <v>60.954000000000001</v>
      </c>
      <c r="J115" s="523">
        <f>J116+J124+J126</f>
        <v>51.785000000000004</v>
      </c>
      <c r="K115" s="526">
        <f t="shared" si="34"/>
        <v>84.957508941168754</v>
      </c>
    </row>
    <row r="116" spans="1:12" ht="36" x14ac:dyDescent="0.25">
      <c r="A116" s="745"/>
      <c r="B116" s="527"/>
      <c r="C116" s="528"/>
      <c r="D116" s="577" t="s">
        <v>936</v>
      </c>
      <c r="E116" s="759">
        <f>E117+E118+E119+E120+E121+E122+E123</f>
        <v>74.834879999999998</v>
      </c>
      <c r="F116" s="759">
        <f>F117+F118+F119+F120+F121+F122+F123</f>
        <v>60.793714350000002</v>
      </c>
      <c r="G116" s="731" t="s">
        <v>105</v>
      </c>
      <c r="H116" s="778" t="s">
        <v>105</v>
      </c>
      <c r="I116" s="769">
        <f>I117+I118+I119+I120+I121+I122+I123</f>
        <v>44.642000000000003</v>
      </c>
      <c r="J116" s="530">
        <f>J117+J118+J119+J120+J121+J122+J123</f>
        <v>35.664000000000001</v>
      </c>
      <c r="K116" s="533">
        <f t="shared" si="34"/>
        <v>79.888893866762245</v>
      </c>
    </row>
    <row r="117" spans="1:12" ht="57.6" x14ac:dyDescent="0.25">
      <c r="A117" s="743"/>
      <c r="B117" s="573" t="s">
        <v>937</v>
      </c>
      <c r="C117" s="574" t="s">
        <v>938</v>
      </c>
      <c r="D117" s="546" t="s">
        <v>1323</v>
      </c>
      <c r="E117" s="757">
        <f>1050000/1000000</f>
        <v>1.05</v>
      </c>
      <c r="F117" s="757">
        <f>599949/1000000</f>
        <v>0.59994899999999995</v>
      </c>
      <c r="G117" s="575">
        <f t="shared" ref="G117:G123" si="38">+F117/E117*100</f>
        <v>57.137999999999991</v>
      </c>
      <c r="H117" s="782" t="s">
        <v>940</v>
      </c>
      <c r="I117" s="767">
        <v>1.08</v>
      </c>
      <c r="J117" s="516">
        <v>0.98699999999999999</v>
      </c>
      <c r="K117" s="519">
        <f t="shared" si="34"/>
        <v>91.388888888888886</v>
      </c>
    </row>
    <row r="118" spans="1:12" ht="57.6" x14ac:dyDescent="0.25">
      <c r="A118" s="743"/>
      <c r="B118" s="573" t="s">
        <v>937</v>
      </c>
      <c r="C118" s="574" t="s">
        <v>941</v>
      </c>
      <c r="D118" s="546" t="s">
        <v>939</v>
      </c>
      <c r="E118" s="757">
        <f>550000/1000000</f>
        <v>0.55000000000000004</v>
      </c>
      <c r="F118" s="757">
        <f>357271/1000000</f>
        <v>0.35727100000000001</v>
      </c>
      <c r="G118" s="575">
        <f t="shared" si="38"/>
        <v>64.958363636363643</v>
      </c>
      <c r="H118" s="782" t="s">
        <v>942</v>
      </c>
      <c r="I118" s="767">
        <v>0.92</v>
      </c>
      <c r="J118" s="516">
        <v>0.254</v>
      </c>
      <c r="K118" s="519">
        <f t="shared" si="34"/>
        <v>27.608695652173914</v>
      </c>
    </row>
    <row r="119" spans="1:12" ht="69" x14ac:dyDescent="0.25">
      <c r="A119" s="743"/>
      <c r="B119" s="573" t="s">
        <v>937</v>
      </c>
      <c r="C119" s="574" t="s">
        <v>943</v>
      </c>
      <c r="D119" s="546" t="s">
        <v>1324</v>
      </c>
      <c r="E119" s="757">
        <f>1550000/1000000</f>
        <v>1.55</v>
      </c>
      <c r="F119" s="757">
        <f>1380450/1000000</f>
        <v>1.38045</v>
      </c>
      <c r="G119" s="575">
        <f t="shared" si="38"/>
        <v>89.061290322580646</v>
      </c>
      <c r="H119" s="787" t="s">
        <v>732</v>
      </c>
      <c r="I119" s="767">
        <v>1.61</v>
      </c>
      <c r="J119" s="516">
        <v>1.1439999999999999</v>
      </c>
      <c r="K119" s="519">
        <f t="shared" si="34"/>
        <v>71.055900621118013</v>
      </c>
    </row>
    <row r="120" spans="1:12" ht="148.80000000000001" x14ac:dyDescent="0.25">
      <c r="A120" s="743"/>
      <c r="B120" s="573" t="s">
        <v>937</v>
      </c>
      <c r="C120" s="574" t="s">
        <v>944</v>
      </c>
      <c r="D120" s="546" t="s">
        <v>1325</v>
      </c>
      <c r="E120" s="757">
        <f>32865130/1000000</f>
        <v>32.865130000000001</v>
      </c>
      <c r="F120" s="757">
        <f>25922111.67/1000000</f>
        <v>25.922111670000003</v>
      </c>
      <c r="G120" s="575">
        <f t="shared" si="38"/>
        <v>78.874210051808717</v>
      </c>
      <c r="H120" s="787" t="s">
        <v>1326</v>
      </c>
      <c r="I120" s="767">
        <v>40.027000000000001</v>
      </c>
      <c r="J120" s="516">
        <v>32.359000000000002</v>
      </c>
      <c r="K120" s="519">
        <f>J120/I120*100</f>
        <v>80.842931021560446</v>
      </c>
    </row>
    <row r="121" spans="1:12" ht="46.2" x14ac:dyDescent="0.25">
      <c r="A121" s="743"/>
      <c r="B121" s="573" t="s">
        <v>937</v>
      </c>
      <c r="C121" s="574" t="s">
        <v>945</v>
      </c>
      <c r="D121" s="546" t="s">
        <v>1327</v>
      </c>
      <c r="E121" s="757">
        <f>1278100/1000000</f>
        <v>1.2781</v>
      </c>
      <c r="F121" s="757">
        <f>888974.18/1000000</f>
        <v>0.88897418000000006</v>
      </c>
      <c r="G121" s="575">
        <f t="shared" si="38"/>
        <v>69.5543525545732</v>
      </c>
      <c r="H121" s="787" t="s">
        <v>1328</v>
      </c>
      <c r="I121" s="767">
        <v>1.0049999999999999</v>
      </c>
      <c r="J121" s="516">
        <v>0.92</v>
      </c>
      <c r="K121" s="519">
        <f>J121/I121*100</f>
        <v>91.542288557213951</v>
      </c>
    </row>
    <row r="122" spans="1:12" ht="57.6" x14ac:dyDescent="0.25">
      <c r="A122" s="743"/>
      <c r="B122" s="573" t="s">
        <v>937</v>
      </c>
      <c r="C122" s="574" t="s">
        <v>946</v>
      </c>
      <c r="D122" s="546" t="s">
        <v>947</v>
      </c>
      <c r="E122" s="757">
        <f>30959450/1000000</f>
        <v>30.95945</v>
      </c>
      <c r="F122" s="757">
        <f>26628397.28/1000000</f>
        <v>26.628397280000002</v>
      </c>
      <c r="G122" s="575">
        <f t="shared" si="38"/>
        <v>86.010563107548748</v>
      </c>
      <c r="H122" s="787" t="s">
        <v>1329</v>
      </c>
      <c r="I122" s="767">
        <v>0</v>
      </c>
      <c r="J122" s="516">
        <v>0</v>
      </c>
      <c r="K122" s="519">
        <v>0</v>
      </c>
    </row>
    <row r="123" spans="1:12" ht="69" x14ac:dyDescent="0.25">
      <c r="A123" s="743"/>
      <c r="B123" s="573" t="s">
        <v>937</v>
      </c>
      <c r="C123" s="574" t="s">
        <v>948</v>
      </c>
      <c r="D123" s="546" t="s">
        <v>886</v>
      </c>
      <c r="E123" s="757">
        <f>6582200/1000000</f>
        <v>6.5822000000000003</v>
      </c>
      <c r="F123" s="757">
        <f>5016561.22/1000000</f>
        <v>5.0165612199999998</v>
      </c>
      <c r="G123" s="575">
        <f t="shared" si="38"/>
        <v>76.214050317523004</v>
      </c>
      <c r="H123" s="782" t="s">
        <v>1329</v>
      </c>
      <c r="I123" s="767">
        <v>0</v>
      </c>
      <c r="J123" s="516">
        <v>0</v>
      </c>
      <c r="K123" s="519">
        <v>0</v>
      </c>
    </row>
    <row r="124" spans="1:12" ht="24" x14ac:dyDescent="0.25">
      <c r="A124" s="745"/>
      <c r="B124" s="527"/>
      <c r="C124" s="528"/>
      <c r="D124" s="577" t="s">
        <v>949</v>
      </c>
      <c r="E124" s="759">
        <f>E125</f>
        <v>16.146899999999999</v>
      </c>
      <c r="F124" s="759">
        <f t="shared" ref="F124" si="39">F125</f>
        <v>9.1780705700000009</v>
      </c>
      <c r="G124" s="531" t="s">
        <v>105</v>
      </c>
      <c r="H124" s="778" t="s">
        <v>105</v>
      </c>
      <c r="I124" s="769">
        <f>I125</f>
        <v>14.625</v>
      </c>
      <c r="J124" s="530">
        <f>J125</f>
        <v>14.625</v>
      </c>
      <c r="K124" s="533">
        <f>J124/I124*100</f>
        <v>100</v>
      </c>
    </row>
    <row r="125" spans="1:12" ht="69" x14ac:dyDescent="0.25">
      <c r="A125" s="743"/>
      <c r="B125" s="573" t="s">
        <v>937</v>
      </c>
      <c r="C125" s="574" t="s">
        <v>950</v>
      </c>
      <c r="D125" s="546" t="s">
        <v>951</v>
      </c>
      <c r="E125" s="757">
        <f>16146900/1000000</f>
        <v>16.146899999999999</v>
      </c>
      <c r="F125" s="757">
        <f>9178070.57/1000000</f>
        <v>9.1780705700000009</v>
      </c>
      <c r="G125" s="575">
        <f>+F125/E125*100</f>
        <v>56.841068997764289</v>
      </c>
      <c r="H125" s="782" t="s">
        <v>1330</v>
      </c>
      <c r="I125" s="767">
        <v>14.625</v>
      </c>
      <c r="J125" s="516">
        <v>14.625</v>
      </c>
      <c r="K125" s="519">
        <f>J125/I125*100</f>
        <v>100</v>
      </c>
    </row>
    <row r="126" spans="1:12" ht="72" x14ac:dyDescent="0.25">
      <c r="A126" s="745"/>
      <c r="B126" s="527"/>
      <c r="C126" s="528"/>
      <c r="D126" s="577" t="s">
        <v>952</v>
      </c>
      <c r="E126" s="759">
        <f>E127+E128</f>
        <v>1.6872</v>
      </c>
      <c r="F126" s="759">
        <f>F127+F128</f>
        <v>1.44954048</v>
      </c>
      <c r="G126" s="731" t="s">
        <v>105</v>
      </c>
      <c r="H126" s="778" t="s">
        <v>105</v>
      </c>
      <c r="I126" s="769">
        <f>I127+I128</f>
        <v>1.6870000000000001</v>
      </c>
      <c r="J126" s="530">
        <f>J127+J128</f>
        <v>1.496</v>
      </c>
      <c r="K126" s="533">
        <f>J126/I126*100</f>
        <v>88.678126852400709</v>
      </c>
    </row>
    <row r="127" spans="1:12" ht="34.799999999999997" x14ac:dyDescent="0.25">
      <c r="A127" s="743"/>
      <c r="B127" s="573" t="s">
        <v>937</v>
      </c>
      <c r="C127" s="599" t="s">
        <v>953</v>
      </c>
      <c r="D127" s="546" t="s">
        <v>1331</v>
      </c>
      <c r="E127" s="757">
        <f>1500000/1000000</f>
        <v>1.5</v>
      </c>
      <c r="F127" s="757">
        <f>1349497/1000000</f>
        <v>1.3494969999999999</v>
      </c>
      <c r="G127" s="575">
        <f>+F127/E127*100</f>
        <v>89.966466666666662</v>
      </c>
      <c r="H127" s="809" t="s">
        <v>1332</v>
      </c>
      <c r="I127" s="767">
        <v>1.5</v>
      </c>
      <c r="J127" s="516">
        <v>1.395</v>
      </c>
      <c r="K127" s="519">
        <v>0</v>
      </c>
    </row>
    <row r="128" spans="1:12" ht="34.799999999999997" x14ac:dyDescent="0.25">
      <c r="A128" s="743"/>
      <c r="B128" s="573" t="s">
        <v>937</v>
      </c>
      <c r="C128" s="574" t="s">
        <v>954</v>
      </c>
      <c r="D128" s="546" t="s">
        <v>1333</v>
      </c>
      <c r="E128" s="757">
        <f>187200/1000000</f>
        <v>0.18720000000000001</v>
      </c>
      <c r="F128" s="757">
        <f>100043.48/1000000</f>
        <v>0.10004347999999999</v>
      </c>
      <c r="G128" s="575">
        <f>+F128/E128*100</f>
        <v>53.442029914529911</v>
      </c>
      <c r="H128" s="809" t="s">
        <v>1332</v>
      </c>
      <c r="I128" s="767">
        <v>0.187</v>
      </c>
      <c r="J128" s="516">
        <v>0.10100000000000001</v>
      </c>
      <c r="K128" s="519">
        <v>0</v>
      </c>
      <c r="L128" s="793"/>
    </row>
    <row r="129" spans="1:11" ht="36" x14ac:dyDescent="0.25">
      <c r="A129" s="744"/>
      <c r="B129" s="520"/>
      <c r="C129" s="521"/>
      <c r="D129" s="576" t="s">
        <v>763</v>
      </c>
      <c r="E129" s="758">
        <f>E130+E134</f>
        <v>1256.5208</v>
      </c>
      <c r="F129" s="758">
        <f>F130+F134</f>
        <v>1010.60238711</v>
      </c>
      <c r="G129" s="727" t="s">
        <v>105</v>
      </c>
      <c r="H129" s="777" t="s">
        <v>105</v>
      </c>
      <c r="I129" s="768">
        <f>I130+I134</f>
        <v>112.84699999999999</v>
      </c>
      <c r="J129" s="523">
        <f>J130+J134</f>
        <v>71.712000000000003</v>
      </c>
      <c r="K129" s="526">
        <f>J129/I129*100</f>
        <v>63.547989756041368</v>
      </c>
    </row>
    <row r="130" spans="1:11" ht="36" x14ac:dyDescent="0.25">
      <c r="A130" s="745"/>
      <c r="B130" s="527"/>
      <c r="C130" s="528"/>
      <c r="D130" s="577" t="s">
        <v>955</v>
      </c>
      <c r="E130" s="759">
        <f>+E131+E132+E133</f>
        <v>1256.2758000000001</v>
      </c>
      <c r="F130" s="759">
        <f>+F131+F132+F133</f>
        <v>1010.41338711</v>
      </c>
      <c r="G130" s="731" t="s">
        <v>105</v>
      </c>
      <c r="H130" s="778" t="s">
        <v>105</v>
      </c>
      <c r="I130" s="769">
        <f>I131+I132+I133</f>
        <v>112.60199999999999</v>
      </c>
      <c r="J130" s="530">
        <f>J131+J132+J133</f>
        <v>71.567000000000007</v>
      </c>
      <c r="K130" s="533">
        <f>J130/I130*100</f>
        <v>63.557485657448368</v>
      </c>
    </row>
    <row r="131" spans="1:11" ht="34.799999999999997" x14ac:dyDescent="0.25">
      <c r="A131" s="743"/>
      <c r="B131" s="573" t="s">
        <v>956</v>
      </c>
      <c r="C131" s="574" t="s">
        <v>957</v>
      </c>
      <c r="D131" s="546" t="s">
        <v>958</v>
      </c>
      <c r="E131" s="757">
        <f>1098510100/1000000</f>
        <v>1098.5101</v>
      </c>
      <c r="F131" s="757">
        <f>870885781.08/1000000</f>
        <v>870.88578108000002</v>
      </c>
      <c r="G131" s="575">
        <f>+F131/E131*100</f>
        <v>79.278814193879512</v>
      </c>
      <c r="H131" s="776" t="s">
        <v>959</v>
      </c>
      <c r="I131" s="767">
        <v>0</v>
      </c>
      <c r="J131" s="516">
        <v>0</v>
      </c>
      <c r="K131" s="519">
        <v>0</v>
      </c>
    </row>
    <row r="132" spans="1:11" ht="69" x14ac:dyDescent="0.25">
      <c r="A132" s="743"/>
      <c r="B132" s="573" t="s">
        <v>765</v>
      </c>
      <c r="C132" s="574" t="s">
        <v>960</v>
      </c>
      <c r="D132" s="546" t="s">
        <v>961</v>
      </c>
      <c r="E132" s="757">
        <f>6655500/1000000</f>
        <v>6.6555</v>
      </c>
      <c r="F132" s="757">
        <f>5308631.4/1000000</f>
        <v>5.3086314000000003</v>
      </c>
      <c r="G132" s="575">
        <f>+F132/E132*100</f>
        <v>79.763074149199923</v>
      </c>
      <c r="H132" s="776" t="s">
        <v>959</v>
      </c>
      <c r="I132" s="767">
        <v>7.0019999999999998</v>
      </c>
      <c r="J132" s="516">
        <v>5.6920000000000002</v>
      </c>
      <c r="K132" s="519">
        <f>J132/I132*100</f>
        <v>81.291059697229372</v>
      </c>
    </row>
    <row r="133" spans="1:11" ht="34.799999999999997" x14ac:dyDescent="0.25">
      <c r="A133" s="743"/>
      <c r="B133" s="573" t="s">
        <v>765</v>
      </c>
      <c r="C133" s="574" t="s">
        <v>962</v>
      </c>
      <c r="D133" s="546" t="s">
        <v>963</v>
      </c>
      <c r="E133" s="757">
        <f>151110200/1000000</f>
        <v>151.11019999999999</v>
      </c>
      <c r="F133" s="757">
        <f>134218974.63/1000000</f>
        <v>134.21897462999999</v>
      </c>
      <c r="G133" s="575">
        <f>+F133/E133*100</f>
        <v>88.821915813757116</v>
      </c>
      <c r="H133" s="776" t="s">
        <v>959</v>
      </c>
      <c r="I133" s="767">
        <v>105.6</v>
      </c>
      <c r="J133" s="516">
        <v>65.875</v>
      </c>
      <c r="K133" s="519">
        <f>J133/I133*100</f>
        <v>62.381628787878796</v>
      </c>
    </row>
    <row r="134" spans="1:11" ht="36" x14ac:dyDescent="0.25">
      <c r="A134" s="745"/>
      <c r="B134" s="527"/>
      <c r="C134" s="528"/>
      <c r="D134" s="577" t="s">
        <v>764</v>
      </c>
      <c r="E134" s="759">
        <f>E135</f>
        <v>0.245</v>
      </c>
      <c r="F134" s="759">
        <f t="shared" ref="F134" si="40">F135</f>
        <v>0.189</v>
      </c>
      <c r="G134" s="531" t="s">
        <v>105</v>
      </c>
      <c r="H134" s="778" t="s">
        <v>105</v>
      </c>
      <c r="I134" s="769">
        <f>I135</f>
        <v>0.245</v>
      </c>
      <c r="J134" s="530">
        <f>J135</f>
        <v>0.14499999999999999</v>
      </c>
      <c r="K134" s="533">
        <f>K135</f>
        <v>59.183673469387756</v>
      </c>
    </row>
    <row r="135" spans="1:11" ht="23.4" x14ac:dyDescent="0.25">
      <c r="A135" s="743"/>
      <c r="B135" s="573" t="s">
        <v>769</v>
      </c>
      <c r="C135" s="574" t="s">
        <v>964</v>
      </c>
      <c r="D135" s="546" t="s">
        <v>770</v>
      </c>
      <c r="E135" s="757">
        <f>245000/1000000</f>
        <v>0.245</v>
      </c>
      <c r="F135" s="757">
        <f>189000/1000000</f>
        <v>0.189</v>
      </c>
      <c r="G135" s="575">
        <f>+F135/E135*100</f>
        <v>77.142857142857153</v>
      </c>
      <c r="H135" s="776" t="s">
        <v>840</v>
      </c>
      <c r="I135" s="767">
        <v>0.245</v>
      </c>
      <c r="J135" s="516">
        <v>0.14499999999999999</v>
      </c>
      <c r="K135" s="519">
        <f>J135/I135*100</f>
        <v>59.183673469387756</v>
      </c>
    </row>
    <row r="136" spans="1:11" ht="24" x14ac:dyDescent="0.25">
      <c r="A136" s="750" t="s">
        <v>965</v>
      </c>
      <c r="B136" s="534"/>
      <c r="C136" s="535"/>
      <c r="D136" s="593" t="s">
        <v>966</v>
      </c>
      <c r="E136" s="761">
        <f>E137</f>
        <v>0.38800000000000001</v>
      </c>
      <c r="F136" s="761">
        <f>F137</f>
        <v>0.2293</v>
      </c>
      <c r="G136" s="726" t="str">
        <f>G137</f>
        <v>х</v>
      </c>
      <c r="H136" s="774" t="s">
        <v>105</v>
      </c>
      <c r="I136" s="771">
        <f>I137</f>
        <v>1.7000000000000002</v>
      </c>
      <c r="J136" s="594">
        <f t="shared" ref="J136:K136" si="41">J137</f>
        <v>1.1253749900000001</v>
      </c>
      <c r="K136" s="605">
        <f t="shared" si="41"/>
        <v>66.198528823529415</v>
      </c>
    </row>
    <row r="137" spans="1:11" ht="36" x14ac:dyDescent="0.25">
      <c r="A137" s="744"/>
      <c r="B137" s="520"/>
      <c r="C137" s="521"/>
      <c r="D137" s="576" t="s">
        <v>967</v>
      </c>
      <c r="E137" s="758">
        <f>E138+E139</f>
        <v>0.38800000000000001</v>
      </c>
      <c r="F137" s="758">
        <f>F138+F139</f>
        <v>0.2293</v>
      </c>
      <c r="G137" s="727" t="s">
        <v>105</v>
      </c>
      <c r="H137" s="777" t="s">
        <v>105</v>
      </c>
      <c r="I137" s="768">
        <f>I138+I139</f>
        <v>1.7000000000000002</v>
      </c>
      <c r="J137" s="523">
        <f>J138+J139</f>
        <v>1.1253749900000001</v>
      </c>
      <c r="K137" s="526">
        <f>J137/I137*100</f>
        <v>66.198528823529415</v>
      </c>
    </row>
    <row r="138" spans="1:11" ht="57.6" x14ac:dyDescent="0.25">
      <c r="A138" s="743"/>
      <c r="B138" s="573" t="s">
        <v>717</v>
      </c>
      <c r="C138" s="574" t="s">
        <v>968</v>
      </c>
      <c r="D138" s="546" t="s">
        <v>759</v>
      </c>
      <c r="E138" s="757">
        <f>288000/1000000</f>
        <v>0.28799999999999998</v>
      </c>
      <c r="F138" s="757">
        <f>196800/1000000</f>
        <v>0.1968</v>
      </c>
      <c r="G138" s="575">
        <f>+F138/E138*100</f>
        <v>68.333333333333329</v>
      </c>
      <c r="H138" s="782" t="s">
        <v>1334</v>
      </c>
      <c r="I138" s="767">
        <v>1.6</v>
      </c>
      <c r="J138" s="516">
        <f>1020494.99/1000000</f>
        <v>1.02049499</v>
      </c>
      <c r="K138" s="519">
        <f>J138/I138*100</f>
        <v>63.780936874999995</v>
      </c>
    </row>
    <row r="139" spans="1:11" ht="46.2" x14ac:dyDescent="0.25">
      <c r="A139" s="743"/>
      <c r="B139" s="573" t="s">
        <v>793</v>
      </c>
      <c r="C139" s="574" t="s">
        <v>969</v>
      </c>
      <c r="D139" s="546" t="s">
        <v>795</v>
      </c>
      <c r="E139" s="757">
        <f>100000/1000000</f>
        <v>0.1</v>
      </c>
      <c r="F139" s="757">
        <f>32500/1000000</f>
        <v>3.2500000000000001E-2</v>
      </c>
      <c r="G139" s="575">
        <f>+F139/E139*100</f>
        <v>32.5</v>
      </c>
      <c r="H139" s="787" t="s">
        <v>1335</v>
      </c>
      <c r="I139" s="767">
        <v>0.1</v>
      </c>
      <c r="J139" s="516">
        <v>0.10488</v>
      </c>
      <c r="K139" s="519">
        <f t="shared" ref="K139" si="42">J139/I139*100</f>
        <v>104.88</v>
      </c>
    </row>
    <row r="140" spans="1:11" ht="24" x14ac:dyDescent="0.25">
      <c r="A140" s="750" t="s">
        <v>772</v>
      </c>
      <c r="B140" s="534"/>
      <c r="C140" s="535"/>
      <c r="D140" s="593" t="s">
        <v>773</v>
      </c>
      <c r="E140" s="761">
        <f>E141</f>
        <v>32.481090000000002</v>
      </c>
      <c r="F140" s="761">
        <f t="shared" ref="F140:G140" si="43">F141</f>
        <v>25.77781264</v>
      </c>
      <c r="G140" s="726" t="str">
        <f t="shared" si="43"/>
        <v>х</v>
      </c>
      <c r="H140" s="774" t="s">
        <v>105</v>
      </c>
      <c r="I140" s="771">
        <f>I141</f>
        <v>12.696</v>
      </c>
      <c r="J140" s="594">
        <f t="shared" ref="J140:K141" si="44">J141</f>
        <v>12.696</v>
      </c>
      <c r="K140" s="605">
        <f t="shared" si="44"/>
        <v>100</v>
      </c>
    </row>
    <row r="141" spans="1:11" ht="48" x14ac:dyDescent="0.25">
      <c r="A141" s="744"/>
      <c r="B141" s="520"/>
      <c r="C141" s="521"/>
      <c r="D141" s="576" t="s">
        <v>774</v>
      </c>
      <c r="E141" s="758">
        <f>E142+E144</f>
        <v>32.481090000000002</v>
      </c>
      <c r="F141" s="758">
        <f>F142+F144</f>
        <v>25.77781264</v>
      </c>
      <c r="G141" s="728" t="s">
        <v>105</v>
      </c>
      <c r="H141" s="777" t="s">
        <v>105</v>
      </c>
      <c r="I141" s="768">
        <f>I142</f>
        <v>12.696</v>
      </c>
      <c r="J141" s="523">
        <f t="shared" si="44"/>
        <v>12.696</v>
      </c>
      <c r="K141" s="526">
        <f t="shared" si="44"/>
        <v>100</v>
      </c>
    </row>
    <row r="142" spans="1:11" ht="36" x14ac:dyDescent="0.25">
      <c r="A142" s="745"/>
      <c r="B142" s="527"/>
      <c r="C142" s="528"/>
      <c r="D142" s="577" t="s">
        <v>970</v>
      </c>
      <c r="E142" s="759">
        <f>E143</f>
        <v>12.48109</v>
      </c>
      <c r="F142" s="759">
        <f t="shared" ref="F142" si="45">F143</f>
        <v>8.6688425999999996</v>
      </c>
      <c r="G142" s="738" t="s">
        <v>105</v>
      </c>
      <c r="H142" s="778" t="s">
        <v>105</v>
      </c>
      <c r="I142" s="769">
        <f>I143</f>
        <v>12.696</v>
      </c>
      <c r="J142" s="530">
        <f>J143</f>
        <v>12.696</v>
      </c>
      <c r="K142" s="533">
        <f>J142/I142*100</f>
        <v>100</v>
      </c>
    </row>
    <row r="143" spans="1:11" ht="34.799999999999997" x14ac:dyDescent="0.25">
      <c r="A143" s="743"/>
      <c r="B143" s="573" t="s">
        <v>776</v>
      </c>
      <c r="C143" s="574" t="s">
        <v>971</v>
      </c>
      <c r="D143" s="546" t="s">
        <v>972</v>
      </c>
      <c r="E143" s="757">
        <f>12481090/1000000</f>
        <v>12.48109</v>
      </c>
      <c r="F143" s="757">
        <f>8668842.6/1000000</f>
        <v>8.6688425999999996</v>
      </c>
      <c r="G143" s="575">
        <f>+F143/E143*100</f>
        <v>69.455813554745617</v>
      </c>
      <c r="H143" s="776" t="s">
        <v>732</v>
      </c>
      <c r="I143" s="767">
        <v>12.696</v>
      </c>
      <c r="J143" s="516">
        <v>12.696</v>
      </c>
      <c r="K143" s="519">
        <f>J143/I143*100</f>
        <v>100</v>
      </c>
    </row>
    <row r="144" spans="1:11" ht="24" x14ac:dyDescent="0.25">
      <c r="A144" s="745"/>
      <c r="B144" s="527"/>
      <c r="C144" s="528"/>
      <c r="D144" s="577" t="s">
        <v>973</v>
      </c>
      <c r="E144" s="759">
        <f>E145</f>
        <v>20</v>
      </c>
      <c r="F144" s="759">
        <f t="shared" ref="F144" si="46">F145</f>
        <v>17.108970039999999</v>
      </c>
      <c r="G144" s="738" t="s">
        <v>105</v>
      </c>
      <c r="H144" s="778" t="s">
        <v>105</v>
      </c>
      <c r="I144" s="769" t="s">
        <v>31</v>
      </c>
      <c r="J144" s="530" t="s">
        <v>31</v>
      </c>
      <c r="K144" s="533" t="s">
        <v>31</v>
      </c>
    </row>
    <row r="145" spans="1:12" ht="114.6" x14ac:dyDescent="0.25">
      <c r="A145" s="743"/>
      <c r="B145" s="573" t="s">
        <v>974</v>
      </c>
      <c r="C145" s="574" t="s">
        <v>975</v>
      </c>
      <c r="D145" s="546" t="s">
        <v>976</v>
      </c>
      <c r="E145" s="757">
        <f>20000000/1000000</f>
        <v>20</v>
      </c>
      <c r="F145" s="757">
        <f>17108970.04/1000000</f>
        <v>17.108970039999999</v>
      </c>
      <c r="G145" s="575">
        <f>+F145/E145*100</f>
        <v>85.544850199999999</v>
      </c>
      <c r="H145" s="776" t="s">
        <v>1336</v>
      </c>
      <c r="I145" s="767" t="s">
        <v>31</v>
      </c>
      <c r="J145" s="516" t="s">
        <v>31</v>
      </c>
      <c r="K145" s="519" t="s">
        <v>31</v>
      </c>
    </row>
    <row r="146" spans="1:12" ht="24" x14ac:dyDescent="0.25">
      <c r="A146" s="750" t="s">
        <v>977</v>
      </c>
      <c r="B146" s="534"/>
      <c r="C146" s="535"/>
      <c r="D146" s="593" t="s">
        <v>978</v>
      </c>
      <c r="E146" s="761">
        <f>E147+E150+E154</f>
        <v>18.697502500000002</v>
      </c>
      <c r="F146" s="761">
        <f>F147+F150+F154</f>
        <v>13.58151743</v>
      </c>
      <c r="G146" s="725" t="s">
        <v>105</v>
      </c>
      <c r="H146" s="774" t="s">
        <v>105</v>
      </c>
      <c r="I146" s="771">
        <f>I150+I154</f>
        <v>3.61</v>
      </c>
      <c r="J146" s="594">
        <f>J150+J154</f>
        <v>3.6142499999999997</v>
      </c>
      <c r="K146" s="605">
        <f>J146/I146*100</f>
        <v>100.11772853185595</v>
      </c>
    </row>
    <row r="147" spans="1:12" ht="48" x14ac:dyDescent="0.25">
      <c r="A147" s="744"/>
      <c r="B147" s="520"/>
      <c r="C147" s="521"/>
      <c r="D147" s="576" t="s">
        <v>979</v>
      </c>
      <c r="E147" s="758">
        <f>E148</f>
        <v>16.399000000000001</v>
      </c>
      <c r="F147" s="758">
        <f t="shared" ref="F147:F148" si="47">F148</f>
        <v>11.77089889</v>
      </c>
      <c r="G147" s="728" t="s">
        <v>105</v>
      </c>
      <c r="H147" s="777" t="s">
        <v>105</v>
      </c>
      <c r="I147" s="768" t="s">
        <v>31</v>
      </c>
      <c r="J147" s="523" t="s">
        <v>31</v>
      </c>
      <c r="K147" s="526" t="s">
        <v>31</v>
      </c>
    </row>
    <row r="148" spans="1:12" ht="24" x14ac:dyDescent="0.25">
      <c r="A148" s="743"/>
      <c r="B148" s="573"/>
      <c r="C148" s="574"/>
      <c r="D148" s="577" t="s">
        <v>980</v>
      </c>
      <c r="E148" s="757">
        <f>E149</f>
        <v>16.399000000000001</v>
      </c>
      <c r="F148" s="757">
        <f t="shared" si="47"/>
        <v>11.77089889</v>
      </c>
      <c r="G148" s="575">
        <f>+F148/E148*100</f>
        <v>71.778150436002193</v>
      </c>
      <c r="H148" s="788" t="s">
        <v>105</v>
      </c>
      <c r="I148" s="767" t="s">
        <v>31</v>
      </c>
      <c r="J148" s="516" t="s">
        <v>31</v>
      </c>
      <c r="K148" s="519" t="s">
        <v>31</v>
      </c>
    </row>
    <row r="149" spans="1:12" ht="23.4" x14ac:dyDescent="0.25">
      <c r="A149" s="743"/>
      <c r="B149" s="573" t="s">
        <v>981</v>
      </c>
      <c r="C149" s="574" t="s">
        <v>982</v>
      </c>
      <c r="D149" s="546" t="s">
        <v>759</v>
      </c>
      <c r="E149" s="757">
        <f>16399000/1000000</f>
        <v>16.399000000000001</v>
      </c>
      <c r="F149" s="757">
        <f>11770898.89/1000000</f>
        <v>11.77089889</v>
      </c>
      <c r="G149" s="575">
        <f>+F149/E149*100</f>
        <v>71.778150436002193</v>
      </c>
      <c r="H149" s="776" t="s">
        <v>784</v>
      </c>
      <c r="I149" s="767" t="s">
        <v>31</v>
      </c>
      <c r="J149" s="516" t="s">
        <v>31</v>
      </c>
      <c r="K149" s="519" t="s">
        <v>31</v>
      </c>
    </row>
    <row r="150" spans="1:12" ht="60" x14ac:dyDescent="0.25">
      <c r="A150" s="744"/>
      <c r="B150" s="520"/>
      <c r="C150" s="521"/>
      <c r="D150" s="576" t="s">
        <v>822</v>
      </c>
      <c r="E150" s="758">
        <f>E151</f>
        <v>1.8063500000000001</v>
      </c>
      <c r="F150" s="758">
        <f t="shared" ref="F150" si="48">F151</f>
        <v>1.3840585400000001</v>
      </c>
      <c r="G150" s="728" t="s">
        <v>105</v>
      </c>
      <c r="H150" s="777" t="s">
        <v>105</v>
      </c>
      <c r="I150" s="768">
        <f>I151</f>
        <v>3.61</v>
      </c>
      <c r="J150" s="523">
        <f>J151</f>
        <v>3.61</v>
      </c>
      <c r="K150" s="526">
        <f>J150/I150*100</f>
        <v>100</v>
      </c>
    </row>
    <row r="151" spans="1:12" x14ac:dyDescent="0.25">
      <c r="A151" s="745"/>
      <c r="B151" s="527"/>
      <c r="C151" s="528"/>
      <c r="D151" s="577" t="s">
        <v>983</v>
      </c>
      <c r="E151" s="759">
        <f>E152+E153</f>
        <v>1.8063500000000001</v>
      </c>
      <c r="F151" s="759">
        <f>F152+F153</f>
        <v>1.3840585400000001</v>
      </c>
      <c r="G151" s="731" t="s">
        <v>105</v>
      </c>
      <c r="H151" s="778" t="s">
        <v>105</v>
      </c>
      <c r="I151" s="769">
        <f>I152+I153</f>
        <v>3.61</v>
      </c>
      <c r="J151" s="530">
        <f>J152+J153</f>
        <v>3.61</v>
      </c>
      <c r="K151" s="533">
        <f>J151/I151*100</f>
        <v>100</v>
      </c>
    </row>
    <row r="152" spans="1:12" ht="23.4" x14ac:dyDescent="0.25">
      <c r="A152" s="743"/>
      <c r="B152" s="573" t="s">
        <v>984</v>
      </c>
      <c r="C152" s="574" t="s">
        <v>985</v>
      </c>
      <c r="D152" s="546" t="s">
        <v>986</v>
      </c>
      <c r="E152" s="757">
        <f>1504042/1000000</f>
        <v>1.5040420000000001</v>
      </c>
      <c r="F152" s="757">
        <f>1131650.54/1000000</f>
        <v>1.1316505400000001</v>
      </c>
      <c r="G152" s="575">
        <f>+F152/E152*100</f>
        <v>75.240620940106723</v>
      </c>
      <c r="H152" s="809" t="s">
        <v>784</v>
      </c>
      <c r="I152" s="767">
        <v>1.35</v>
      </c>
      <c r="J152" s="516">
        <v>1.35</v>
      </c>
      <c r="K152" s="519">
        <f>J152/I152*100</f>
        <v>100</v>
      </c>
    </row>
    <row r="153" spans="1:12" ht="23.4" x14ac:dyDescent="0.25">
      <c r="A153" s="743"/>
      <c r="B153" s="573" t="s">
        <v>984</v>
      </c>
      <c r="C153" s="574" t="s">
        <v>987</v>
      </c>
      <c r="D153" s="546" t="s">
        <v>1337</v>
      </c>
      <c r="E153" s="757">
        <f>302308/1000000</f>
        <v>0.30230800000000002</v>
      </c>
      <c r="F153" s="757">
        <f>252408/1000000</f>
        <v>0.25240800000000002</v>
      </c>
      <c r="G153" s="575">
        <f>+F153/E153*100</f>
        <v>83.493655477195446</v>
      </c>
      <c r="H153" s="809" t="s">
        <v>784</v>
      </c>
      <c r="I153" s="767">
        <v>2.2599999999999998</v>
      </c>
      <c r="J153" s="516">
        <v>2.2599999999999998</v>
      </c>
      <c r="K153" s="519">
        <f>J153/I153*100</f>
        <v>100</v>
      </c>
      <c r="L153" s="793"/>
    </row>
    <row r="154" spans="1:12" ht="48" x14ac:dyDescent="0.25">
      <c r="A154" s="744"/>
      <c r="B154" s="520"/>
      <c r="C154" s="521"/>
      <c r="D154" s="576" t="s">
        <v>720</v>
      </c>
      <c r="E154" s="758">
        <f>E155</f>
        <v>0.49215249999999999</v>
      </c>
      <c r="F154" s="758">
        <f t="shared" ref="F154" si="49">F155</f>
        <v>0.42655999999999999</v>
      </c>
      <c r="G154" s="728" t="s">
        <v>105</v>
      </c>
      <c r="H154" s="777" t="s">
        <v>105</v>
      </c>
      <c r="I154" s="768">
        <f>I155</f>
        <v>0</v>
      </c>
      <c r="J154" s="523">
        <f t="shared" ref="J154" si="50">J155</f>
        <v>4.2500000000000003E-3</v>
      </c>
      <c r="K154" s="526">
        <v>0</v>
      </c>
    </row>
    <row r="155" spans="1:12" x14ac:dyDescent="0.25">
      <c r="A155" s="745"/>
      <c r="B155" s="527"/>
      <c r="C155" s="528"/>
      <c r="D155" s="577" t="s">
        <v>988</v>
      </c>
      <c r="E155" s="759">
        <f>E156+E157</f>
        <v>0.49215249999999999</v>
      </c>
      <c r="F155" s="759">
        <f>F156+F157</f>
        <v>0.42655999999999999</v>
      </c>
      <c r="G155" s="738" t="s">
        <v>105</v>
      </c>
      <c r="H155" s="778" t="s">
        <v>105</v>
      </c>
      <c r="I155" s="769">
        <f>I156+I157</f>
        <v>0</v>
      </c>
      <c r="J155" s="530">
        <f>J156+J157</f>
        <v>4.2500000000000003E-3</v>
      </c>
      <c r="K155" s="533">
        <v>0</v>
      </c>
    </row>
    <row r="156" spans="1:12" ht="23.4" x14ac:dyDescent="0.25">
      <c r="A156" s="743"/>
      <c r="B156" s="573" t="s">
        <v>765</v>
      </c>
      <c r="C156" s="574" t="s">
        <v>989</v>
      </c>
      <c r="D156" s="546" t="s">
        <v>990</v>
      </c>
      <c r="E156" s="757">
        <f>482152.5/1000000</f>
        <v>0.48215249999999998</v>
      </c>
      <c r="F156" s="757">
        <f>422152.5/1000000</f>
        <v>0.42215249999999999</v>
      </c>
      <c r="G156" s="575">
        <f>+F156/E156*100</f>
        <v>87.555804439466769</v>
      </c>
      <c r="H156" s="776" t="s">
        <v>784</v>
      </c>
      <c r="I156" s="767">
        <v>0</v>
      </c>
      <c r="J156" s="516">
        <v>0</v>
      </c>
      <c r="K156" s="519">
        <v>0</v>
      </c>
    </row>
    <row r="157" spans="1:12" s="602" customFormat="1" ht="23.4" x14ac:dyDescent="0.25">
      <c r="A157" s="752"/>
      <c r="B157" s="600" t="s">
        <v>769</v>
      </c>
      <c r="C157" s="599" t="s">
        <v>991</v>
      </c>
      <c r="D157" s="553" t="s">
        <v>770</v>
      </c>
      <c r="E157" s="601">
        <f>10000/1000000</f>
        <v>0.01</v>
      </c>
      <c r="F157" s="601">
        <f>4407.5/1000000</f>
        <v>4.4075E-3</v>
      </c>
      <c r="G157" s="575">
        <f>+F157/E157*100</f>
        <v>44.074999999999996</v>
      </c>
      <c r="H157" s="789" t="s">
        <v>784</v>
      </c>
      <c r="I157" s="772">
        <v>0</v>
      </c>
      <c r="J157" s="549">
        <v>4.2500000000000003E-3</v>
      </c>
      <c r="K157" s="552">
        <v>0</v>
      </c>
    </row>
    <row r="158" spans="1:12" x14ac:dyDescent="0.25">
      <c r="A158" s="750" t="s">
        <v>992</v>
      </c>
      <c r="B158" s="534"/>
      <c r="C158" s="535"/>
      <c r="D158" s="604" t="s">
        <v>993</v>
      </c>
      <c r="E158" s="761">
        <f>E159</f>
        <v>0.68799999999999994</v>
      </c>
      <c r="F158" s="761">
        <f>F159</f>
        <v>0.42787799999999998</v>
      </c>
      <c r="G158" s="726" t="s">
        <v>105</v>
      </c>
      <c r="H158" s="774" t="s">
        <v>105</v>
      </c>
      <c r="I158" s="771">
        <f>I159</f>
        <v>0.68799999999999994</v>
      </c>
      <c r="J158" s="594">
        <v>0.7</v>
      </c>
      <c r="K158" s="605">
        <f t="shared" ref="K158" si="51">K159</f>
        <v>94.751656976744187</v>
      </c>
    </row>
    <row r="159" spans="1:12" ht="69" x14ac:dyDescent="0.25">
      <c r="A159" s="752"/>
      <c r="B159" s="600" t="s">
        <v>994</v>
      </c>
      <c r="C159" s="599" t="s">
        <v>995</v>
      </c>
      <c r="D159" s="603" t="s">
        <v>996</v>
      </c>
      <c r="E159" s="601">
        <f>688000/1000000</f>
        <v>0.68799999999999994</v>
      </c>
      <c r="F159" s="601">
        <f>427878/1000000</f>
        <v>0.42787799999999998</v>
      </c>
      <c r="G159" s="575">
        <f>+F159/E159*100</f>
        <v>62.191569767441869</v>
      </c>
      <c r="H159" s="782" t="s">
        <v>1338</v>
      </c>
      <c r="I159" s="772">
        <f>688000/1000000</f>
        <v>0.68799999999999994</v>
      </c>
      <c r="J159" s="549">
        <f>651891.4/1000000</f>
        <v>0.65189140000000001</v>
      </c>
      <c r="K159" s="552">
        <f>J159/I159*100</f>
        <v>94.751656976744187</v>
      </c>
    </row>
    <row r="160" spans="1:12" ht="24" x14ac:dyDescent="0.25">
      <c r="A160" s="749" t="s">
        <v>997</v>
      </c>
      <c r="B160" s="591"/>
      <c r="C160" s="592"/>
      <c r="D160" s="604" t="s">
        <v>998</v>
      </c>
      <c r="E160" s="761">
        <f>E161</f>
        <v>0.05</v>
      </c>
      <c r="F160" s="761">
        <f>F161</f>
        <v>4.3217600000000002E-2</v>
      </c>
      <c r="G160" s="726" t="s">
        <v>105</v>
      </c>
      <c r="H160" s="774" t="s">
        <v>105</v>
      </c>
      <c r="I160" s="771" t="s">
        <v>31</v>
      </c>
      <c r="J160" s="594" t="s">
        <v>31</v>
      </c>
      <c r="K160" s="605" t="s">
        <v>31</v>
      </c>
    </row>
    <row r="161" spans="1:11" ht="48" x14ac:dyDescent="0.25">
      <c r="A161" s="744"/>
      <c r="B161" s="520"/>
      <c r="C161" s="521"/>
      <c r="D161" s="598" t="s">
        <v>979</v>
      </c>
      <c r="E161" s="758">
        <f>E162</f>
        <v>0.05</v>
      </c>
      <c r="F161" s="758">
        <f>F162</f>
        <v>4.3217600000000002E-2</v>
      </c>
      <c r="G161" s="728" t="s">
        <v>105</v>
      </c>
      <c r="H161" s="777" t="s">
        <v>105</v>
      </c>
      <c r="I161" s="768" t="s">
        <v>31</v>
      </c>
      <c r="J161" s="523" t="s">
        <v>31</v>
      </c>
      <c r="K161" s="526" t="s">
        <v>31</v>
      </c>
    </row>
    <row r="162" spans="1:11" ht="24" x14ac:dyDescent="0.25">
      <c r="A162" s="745"/>
      <c r="B162" s="527"/>
      <c r="C162" s="528"/>
      <c r="D162" s="597" t="s">
        <v>980</v>
      </c>
      <c r="E162" s="759">
        <f>E163</f>
        <v>0.05</v>
      </c>
      <c r="F162" s="759">
        <f t="shared" ref="F162" si="52">F163</f>
        <v>4.3217600000000002E-2</v>
      </c>
      <c r="G162" s="738" t="s">
        <v>105</v>
      </c>
      <c r="H162" s="778" t="s">
        <v>105</v>
      </c>
      <c r="I162" s="769" t="s">
        <v>31</v>
      </c>
      <c r="J162" s="530" t="s">
        <v>31</v>
      </c>
      <c r="K162" s="533" t="s">
        <v>31</v>
      </c>
    </row>
    <row r="163" spans="1:11" ht="23.4" x14ac:dyDescent="0.25">
      <c r="A163" s="743"/>
      <c r="B163" s="573" t="s">
        <v>793</v>
      </c>
      <c r="C163" s="574" t="s">
        <v>999</v>
      </c>
      <c r="D163" s="546" t="s">
        <v>795</v>
      </c>
      <c r="E163" s="757">
        <f>50000/1000000</f>
        <v>0.05</v>
      </c>
      <c r="F163" s="757">
        <f>43217.6/1000000</f>
        <v>4.3217600000000002E-2</v>
      </c>
      <c r="G163" s="575">
        <f>+F163/E163*100</f>
        <v>86.435199999999995</v>
      </c>
      <c r="H163" s="776" t="s">
        <v>840</v>
      </c>
      <c r="I163" s="767" t="s">
        <v>31</v>
      </c>
      <c r="J163" s="516" t="s">
        <v>31</v>
      </c>
      <c r="K163" s="519" t="s">
        <v>31</v>
      </c>
    </row>
    <row r="164" spans="1:11" ht="13.8" thickBot="1" x14ac:dyDescent="0.3">
      <c r="A164" s="753" t="s">
        <v>318</v>
      </c>
      <c r="B164" s="754"/>
      <c r="C164" s="792"/>
      <c r="D164" s="606" t="s">
        <v>318</v>
      </c>
      <c r="E164" s="762">
        <f>E8+E43+E47+E58+E71+E75+E79+E90+E94+E114+E136+E140+E146+E158+E160</f>
        <v>10644.014415039999</v>
      </c>
      <c r="F164" s="762">
        <f>F8+F43+F47+F58+F71+F75+F79+F90+F94+F114+F136+F140+F146+F158+F160</f>
        <v>6402.6501806699989</v>
      </c>
      <c r="G164" s="739" t="s">
        <v>105</v>
      </c>
      <c r="H164" s="790" t="s">
        <v>105</v>
      </c>
      <c r="I164" s="773" t="e">
        <f>I8+I47+I58+I71+I79+I90+I94+I114+I136+I140+I146+I158</f>
        <v>#REF!</v>
      </c>
      <c r="J164" s="607">
        <f>J8+J47+J58+J71+J79+J90+J94+J114+J136+J140+J146+J158</f>
        <v>2755.0653268800002</v>
      </c>
      <c r="K164" s="608" t="e">
        <f>J164/I164*100</f>
        <v>#REF!</v>
      </c>
    </row>
    <row r="165" spans="1:11" ht="13.8" thickTop="1" x14ac:dyDescent="0.25"/>
    <row r="166" spans="1:11" hidden="1" x14ac:dyDescent="0.25">
      <c r="D166" s="558" t="s">
        <v>1000</v>
      </c>
      <c r="E166" s="560">
        <v>10644.1</v>
      </c>
      <c r="F166" s="560">
        <v>6402.66</v>
      </c>
      <c r="I166" s="561">
        <v>3409.7</v>
      </c>
      <c r="J166" s="561">
        <v>2755.1</v>
      </c>
    </row>
    <row r="167" spans="1:11" hidden="1" x14ac:dyDescent="0.25"/>
    <row r="168" spans="1:11" hidden="1" x14ac:dyDescent="0.25">
      <c r="D168" s="558" t="s">
        <v>529</v>
      </c>
      <c r="E168" s="560">
        <f>E164-E166</f>
        <v>-8.5584960001142463E-2</v>
      </c>
      <c r="F168" s="560">
        <f>F164-F166</f>
        <v>-9.8193300009370432E-3</v>
      </c>
      <c r="I168" s="561" t="e">
        <f>I164-I166</f>
        <v>#REF!</v>
      </c>
      <c r="J168" s="561">
        <f>J164-J166</f>
        <v>-3.4673119999752089E-2</v>
      </c>
    </row>
    <row r="169" spans="1:11" x14ac:dyDescent="0.25">
      <c r="D169" s="558" t="s">
        <v>1000</v>
      </c>
      <c r="F169" s="560"/>
    </row>
  </sheetData>
  <autoFilter ref="A7:K166"/>
  <mergeCells count="7">
    <mergeCell ref="A3:K3"/>
    <mergeCell ref="A6:A7"/>
    <mergeCell ref="D6:D7"/>
    <mergeCell ref="E6:E7"/>
    <mergeCell ref="F6:G6"/>
    <mergeCell ref="H6:H7"/>
    <mergeCell ref="I6:K6"/>
  </mergeCells>
  <pageMargins left="0.70866141732283472" right="0.39370078740157483" top="0.74803149606299213" bottom="0.74803149606299213" header="0.31496062992125984" footer="0.31496062992125984"/>
  <pageSetup paperSize="9" scale="75"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50"/>
  <sheetViews>
    <sheetView topLeftCell="A12" zoomScale="160" zoomScaleNormal="160" workbookViewId="0">
      <selection activeCell="A14" sqref="A14"/>
    </sheetView>
  </sheetViews>
  <sheetFormatPr defaultColWidth="12.6640625" defaultRowHeight="13.2" x14ac:dyDescent="0.25"/>
  <cols>
    <col min="1" max="1" width="39.6640625" style="504" customWidth="1"/>
    <col min="2" max="3" width="12.6640625" style="505"/>
    <col min="4" max="4" width="12.6640625" style="504" hidden="1" customWidth="1"/>
    <col min="5" max="5" width="51.33203125" style="504" customWidth="1"/>
    <col min="6" max="8" width="0" style="505" hidden="1" customWidth="1"/>
    <col min="9" max="16384" width="12.6640625" style="504"/>
  </cols>
  <sheetData>
    <row r="1" spans="1:8" ht="15" customHeight="1" x14ac:dyDescent="0.25">
      <c r="E1" s="959" t="s">
        <v>2454</v>
      </c>
      <c r="G1" s="504"/>
      <c r="H1" s="559"/>
    </row>
    <row r="3" spans="1:8" ht="34.200000000000003" customHeight="1" x14ac:dyDescent="0.3">
      <c r="A3" s="1016" t="s">
        <v>2456</v>
      </c>
      <c r="B3" s="1016"/>
      <c r="C3" s="1016"/>
      <c r="D3" s="1016"/>
      <c r="E3" s="1016"/>
      <c r="F3" s="1016"/>
      <c r="G3" s="1016"/>
      <c r="H3" s="1016"/>
    </row>
    <row r="4" spans="1:8" ht="13.8" thickBot="1" x14ac:dyDescent="0.3"/>
    <row r="5" spans="1:8" ht="13.8" thickTop="1" x14ac:dyDescent="0.25">
      <c r="A5" s="1031" t="s">
        <v>709</v>
      </c>
      <c r="B5" s="1033" t="s">
        <v>2455</v>
      </c>
      <c r="C5" s="1035" t="s">
        <v>630</v>
      </c>
      <c r="D5" s="1036"/>
      <c r="E5" s="1039" t="s">
        <v>711</v>
      </c>
      <c r="F5" s="1041" t="s">
        <v>670</v>
      </c>
      <c r="G5" s="1042"/>
      <c r="H5" s="1043"/>
    </row>
    <row r="6" spans="1:8" ht="52.8" x14ac:dyDescent="0.25">
      <c r="A6" s="1032"/>
      <c r="B6" s="1034"/>
      <c r="C6" s="1037"/>
      <c r="D6" s="1038"/>
      <c r="E6" s="1040"/>
      <c r="F6" s="506" t="s">
        <v>712</v>
      </c>
      <c r="G6" s="507" t="s">
        <v>713</v>
      </c>
      <c r="H6" s="508" t="s">
        <v>714</v>
      </c>
    </row>
    <row r="7" spans="1:8" s="514" customFormat="1" ht="24" x14ac:dyDescent="0.25">
      <c r="A7" s="510" t="s">
        <v>716</v>
      </c>
      <c r="B7" s="511">
        <f>B8+B9+B12+B16</f>
        <v>1001.5065955499999</v>
      </c>
      <c r="C7" s="511">
        <f>C8</f>
        <v>0</v>
      </c>
      <c r="D7" s="512"/>
      <c r="E7" s="512" t="s">
        <v>105</v>
      </c>
      <c r="F7" s="511">
        <f>F9</f>
        <v>0.1</v>
      </c>
      <c r="G7" s="511">
        <f t="shared" ref="G7:H7" si="0">G9</f>
        <v>9.0999999999999998E-2</v>
      </c>
      <c r="H7" s="513">
        <f t="shared" si="0"/>
        <v>90.999999999999986</v>
      </c>
    </row>
    <row r="8" spans="1:8" ht="80.400000000000006" x14ac:dyDescent="0.25">
      <c r="A8" s="515" t="s">
        <v>718</v>
      </c>
      <c r="B8" s="516">
        <f>829796700.01/1000000</f>
        <v>829.79670001</v>
      </c>
      <c r="C8" s="516">
        <v>0</v>
      </c>
      <c r="D8" s="517">
        <f>C8-B8</f>
        <v>-829.79670001</v>
      </c>
      <c r="E8" s="518" t="s">
        <v>719</v>
      </c>
      <c r="F8" s="516" t="s">
        <v>31</v>
      </c>
      <c r="G8" s="516" t="s">
        <v>31</v>
      </c>
      <c r="H8" s="519" t="s">
        <v>31</v>
      </c>
    </row>
    <row r="9" spans="1:8" ht="60" x14ac:dyDescent="0.25">
      <c r="A9" s="522" t="s">
        <v>720</v>
      </c>
      <c r="B9" s="523">
        <f>B10</f>
        <v>0.26351999999999998</v>
      </c>
      <c r="C9" s="523">
        <f>C10</f>
        <v>0</v>
      </c>
      <c r="D9" s="524"/>
      <c r="E9" s="525" t="s">
        <v>105</v>
      </c>
      <c r="F9" s="523">
        <f>F10</f>
        <v>0.1</v>
      </c>
      <c r="G9" s="523">
        <f t="shared" ref="G9:H9" si="1">G10</f>
        <v>9.0999999999999998E-2</v>
      </c>
      <c r="H9" s="526">
        <f t="shared" si="1"/>
        <v>90.999999999999986</v>
      </c>
    </row>
    <row r="10" spans="1:8" ht="24" x14ac:dyDescent="0.25">
      <c r="A10" s="529" t="s">
        <v>721</v>
      </c>
      <c r="B10" s="530">
        <f>B11</f>
        <v>0.26351999999999998</v>
      </c>
      <c r="C10" s="530">
        <f>C11</f>
        <v>0</v>
      </c>
      <c r="D10" s="531"/>
      <c r="E10" s="532" t="s">
        <v>105</v>
      </c>
      <c r="F10" s="530">
        <f>F11</f>
        <v>0.1</v>
      </c>
      <c r="G10" s="530">
        <f>G11</f>
        <v>9.0999999999999998E-2</v>
      </c>
      <c r="H10" s="533">
        <f>H11</f>
        <v>90.999999999999986</v>
      </c>
    </row>
    <row r="11" spans="1:8" ht="40.5" customHeight="1" x14ac:dyDescent="0.25">
      <c r="A11" s="515" t="s">
        <v>723</v>
      </c>
      <c r="B11" s="516">
        <f>263520/1000000</f>
        <v>0.26351999999999998</v>
      </c>
      <c r="C11" s="516">
        <v>0</v>
      </c>
      <c r="D11" s="517">
        <f t="shared" ref="D11:D45" si="2">C11-B11</f>
        <v>-0.26351999999999998</v>
      </c>
      <c r="E11" s="518" t="s">
        <v>724</v>
      </c>
      <c r="F11" s="516">
        <v>0.1</v>
      </c>
      <c r="G11" s="516">
        <v>9.0999999999999998E-2</v>
      </c>
      <c r="H11" s="519">
        <f>G11/F11*100</f>
        <v>90.999999999999986</v>
      </c>
    </row>
    <row r="12" spans="1:8" ht="36" x14ac:dyDescent="0.25">
      <c r="A12" s="522" t="s">
        <v>725</v>
      </c>
      <c r="B12" s="523">
        <f>B13</f>
        <v>159.27078514999999</v>
      </c>
      <c r="C12" s="523">
        <f>C13</f>
        <v>0</v>
      </c>
      <c r="D12" s="524"/>
      <c r="E12" s="525" t="s">
        <v>105</v>
      </c>
      <c r="F12" s="523" t="s">
        <v>31</v>
      </c>
      <c r="G12" s="523" t="s">
        <v>31</v>
      </c>
      <c r="H12" s="526" t="s">
        <v>31</v>
      </c>
    </row>
    <row r="13" spans="1:8" ht="48" x14ac:dyDescent="0.25">
      <c r="A13" s="529" t="s">
        <v>726</v>
      </c>
      <c r="B13" s="530">
        <f>B14+B15</f>
        <v>159.27078514999999</v>
      </c>
      <c r="C13" s="530">
        <f>C14+C15</f>
        <v>0</v>
      </c>
      <c r="D13" s="531"/>
      <c r="E13" s="532" t="s">
        <v>105</v>
      </c>
      <c r="F13" s="530" t="s">
        <v>31</v>
      </c>
      <c r="G13" s="530" t="s">
        <v>31</v>
      </c>
      <c r="H13" s="533" t="s">
        <v>31</v>
      </c>
    </row>
    <row r="14" spans="1:8" ht="69" x14ac:dyDescent="0.25">
      <c r="A14" s="515" t="s">
        <v>728</v>
      </c>
      <c r="B14" s="516">
        <f>116970785.15/1000000</f>
        <v>116.97078515000001</v>
      </c>
      <c r="C14" s="516">
        <v>0</v>
      </c>
      <c r="D14" s="517">
        <f t="shared" si="2"/>
        <v>-116.97078515000001</v>
      </c>
      <c r="E14" s="518" t="s">
        <v>729</v>
      </c>
      <c r="F14" s="516" t="s">
        <v>31</v>
      </c>
      <c r="G14" s="516" t="s">
        <v>31</v>
      </c>
      <c r="H14" s="519" t="s">
        <v>31</v>
      </c>
    </row>
    <row r="15" spans="1:8" ht="34.799999999999997" x14ac:dyDescent="0.25">
      <c r="A15" s="515" t="s">
        <v>731</v>
      </c>
      <c r="B15" s="516">
        <f>42300000/1000000</f>
        <v>42.3</v>
      </c>
      <c r="C15" s="516">
        <v>0</v>
      </c>
      <c r="D15" s="517">
        <f t="shared" si="2"/>
        <v>-42.3</v>
      </c>
      <c r="E15" s="518" t="s">
        <v>732</v>
      </c>
      <c r="F15" s="516" t="s">
        <v>31</v>
      </c>
      <c r="G15" s="516" t="s">
        <v>31</v>
      </c>
      <c r="H15" s="519" t="s">
        <v>31</v>
      </c>
    </row>
    <row r="16" spans="1:8" ht="36" x14ac:dyDescent="0.25">
      <c r="A16" s="522" t="s">
        <v>733</v>
      </c>
      <c r="B16" s="523">
        <f>B17</f>
        <v>12.17559039</v>
      </c>
      <c r="C16" s="523">
        <f>C17</f>
        <v>0</v>
      </c>
      <c r="D16" s="524"/>
      <c r="E16" s="525" t="s">
        <v>105</v>
      </c>
      <c r="F16" s="523" t="s">
        <v>31</v>
      </c>
      <c r="G16" s="523" t="s">
        <v>31</v>
      </c>
      <c r="H16" s="526" t="s">
        <v>31</v>
      </c>
    </row>
    <row r="17" spans="1:8" ht="24" x14ac:dyDescent="0.25">
      <c r="A17" s="529" t="s">
        <v>734</v>
      </c>
      <c r="B17" s="530">
        <f>B18</f>
        <v>12.17559039</v>
      </c>
      <c r="C17" s="530">
        <f>C18</f>
        <v>0</v>
      </c>
      <c r="D17" s="531"/>
      <c r="E17" s="532" t="s">
        <v>105</v>
      </c>
      <c r="F17" s="530" t="s">
        <v>31</v>
      </c>
      <c r="G17" s="530" t="s">
        <v>31</v>
      </c>
      <c r="H17" s="533" t="s">
        <v>31</v>
      </c>
    </row>
    <row r="18" spans="1:8" ht="46.2" x14ac:dyDescent="0.25">
      <c r="A18" s="515" t="s">
        <v>736</v>
      </c>
      <c r="B18" s="516">
        <f>12175590.39/1000000</f>
        <v>12.17559039</v>
      </c>
      <c r="C18" s="516">
        <v>0</v>
      </c>
      <c r="D18" s="517">
        <f t="shared" si="2"/>
        <v>-12.17559039</v>
      </c>
      <c r="E18" s="518" t="s">
        <v>737</v>
      </c>
      <c r="F18" s="516" t="s">
        <v>31</v>
      </c>
      <c r="G18" s="516" t="s">
        <v>31</v>
      </c>
      <c r="H18" s="519" t="s">
        <v>31</v>
      </c>
    </row>
    <row r="19" spans="1:8" ht="36" x14ac:dyDescent="0.25">
      <c r="A19" s="536" t="s">
        <v>739</v>
      </c>
      <c r="B19" s="537">
        <f>B20</f>
        <v>1.1170213499999999</v>
      </c>
      <c r="C19" s="537">
        <f>C20</f>
        <v>0</v>
      </c>
      <c r="D19" s="538"/>
      <c r="E19" s="539" t="s">
        <v>105</v>
      </c>
      <c r="F19" s="537">
        <f>F20</f>
        <v>5.3999999999999995</v>
      </c>
      <c r="G19" s="537">
        <f t="shared" ref="G19:H19" si="3">G20</f>
        <v>0</v>
      </c>
      <c r="H19" s="540">
        <f t="shared" si="3"/>
        <v>0</v>
      </c>
    </row>
    <row r="20" spans="1:8" ht="48" x14ac:dyDescent="0.25">
      <c r="A20" s="522" t="s">
        <v>740</v>
      </c>
      <c r="B20" s="523">
        <f>B21+B23</f>
        <v>1.1170213499999999</v>
      </c>
      <c r="C20" s="523">
        <f>C21+C23</f>
        <v>0</v>
      </c>
      <c r="D20" s="524"/>
      <c r="E20" s="525" t="s">
        <v>105</v>
      </c>
      <c r="F20" s="523">
        <f>F21+F23</f>
        <v>5.3999999999999995</v>
      </c>
      <c r="G20" s="523">
        <f t="shared" ref="G20:H20" si="4">G21+G23</f>
        <v>0</v>
      </c>
      <c r="H20" s="526">
        <f t="shared" si="4"/>
        <v>0</v>
      </c>
    </row>
    <row r="21" spans="1:8" ht="36" x14ac:dyDescent="0.25">
      <c r="A21" s="529" t="s">
        <v>741</v>
      </c>
      <c r="B21" s="530">
        <f>B22</f>
        <v>1.03132135</v>
      </c>
      <c r="C21" s="530">
        <f>C22</f>
        <v>0</v>
      </c>
      <c r="D21" s="531"/>
      <c r="E21" s="532" t="s">
        <v>105</v>
      </c>
      <c r="F21" s="530">
        <f>F22</f>
        <v>5.3</v>
      </c>
      <c r="G21" s="530">
        <f t="shared" ref="G21:H21" si="5">G22</f>
        <v>0</v>
      </c>
      <c r="H21" s="533">
        <f t="shared" si="5"/>
        <v>0</v>
      </c>
    </row>
    <row r="22" spans="1:8" ht="34.799999999999997" x14ac:dyDescent="0.25">
      <c r="A22" s="515" t="s">
        <v>743</v>
      </c>
      <c r="B22" s="516">
        <f>1031321.35/1000000</f>
        <v>1.03132135</v>
      </c>
      <c r="C22" s="516">
        <v>0</v>
      </c>
      <c r="D22" s="517">
        <f t="shared" si="2"/>
        <v>-1.03132135</v>
      </c>
      <c r="E22" s="518" t="s">
        <v>724</v>
      </c>
      <c r="F22" s="516">
        <v>5.3</v>
      </c>
      <c r="G22" s="516">
        <v>0</v>
      </c>
      <c r="H22" s="519">
        <v>0</v>
      </c>
    </row>
    <row r="23" spans="1:8" ht="24" x14ac:dyDescent="0.25">
      <c r="A23" s="529" t="s">
        <v>744</v>
      </c>
      <c r="B23" s="530">
        <f>B24</f>
        <v>8.5699999999999998E-2</v>
      </c>
      <c r="C23" s="530">
        <f>C24</f>
        <v>0</v>
      </c>
      <c r="D23" s="531"/>
      <c r="E23" s="532" t="s">
        <v>105</v>
      </c>
      <c r="F23" s="530">
        <f>F24</f>
        <v>0.1</v>
      </c>
      <c r="G23" s="530">
        <f t="shared" ref="G23:H23" si="6">G24</f>
        <v>0</v>
      </c>
      <c r="H23" s="533">
        <f t="shared" si="6"/>
        <v>0</v>
      </c>
    </row>
    <row r="24" spans="1:8" ht="103.2" x14ac:dyDescent="0.25">
      <c r="A24" s="515" t="s">
        <v>745</v>
      </c>
      <c r="B24" s="516">
        <f>85700/1000000</f>
        <v>8.5699999999999998E-2</v>
      </c>
      <c r="C24" s="516">
        <v>0</v>
      </c>
      <c r="D24" s="517">
        <f t="shared" si="2"/>
        <v>-8.5699999999999998E-2</v>
      </c>
      <c r="E24" s="541" t="s">
        <v>746</v>
      </c>
      <c r="F24" s="516">
        <v>0.1</v>
      </c>
      <c r="G24" s="516">
        <v>0</v>
      </c>
      <c r="H24" s="519">
        <v>0</v>
      </c>
    </row>
    <row r="25" spans="1:8" ht="24" x14ac:dyDescent="0.25">
      <c r="A25" s="536" t="s">
        <v>748</v>
      </c>
      <c r="B25" s="537">
        <f t="shared" ref="B25:C27" si="7">B26</f>
        <v>0.2306</v>
      </c>
      <c r="C25" s="537">
        <f t="shared" si="7"/>
        <v>0</v>
      </c>
      <c r="D25" s="538"/>
      <c r="E25" s="542" t="s">
        <v>105</v>
      </c>
      <c r="F25" s="537" t="s">
        <v>31</v>
      </c>
      <c r="G25" s="537" t="s">
        <v>31</v>
      </c>
      <c r="H25" s="540" t="s">
        <v>31</v>
      </c>
    </row>
    <row r="26" spans="1:8" ht="36" x14ac:dyDescent="0.25">
      <c r="A26" s="522" t="s">
        <v>725</v>
      </c>
      <c r="B26" s="523">
        <f t="shared" si="7"/>
        <v>0.2306</v>
      </c>
      <c r="C26" s="523">
        <f t="shared" si="7"/>
        <v>0</v>
      </c>
      <c r="D26" s="524"/>
      <c r="E26" s="543" t="s">
        <v>105</v>
      </c>
      <c r="F26" s="523" t="s">
        <v>31</v>
      </c>
      <c r="G26" s="523" t="s">
        <v>31</v>
      </c>
      <c r="H26" s="526" t="s">
        <v>31</v>
      </c>
    </row>
    <row r="27" spans="1:8" ht="72" x14ac:dyDescent="0.25">
      <c r="A27" s="529" t="s">
        <v>749</v>
      </c>
      <c r="B27" s="530">
        <f t="shared" si="7"/>
        <v>0.2306</v>
      </c>
      <c r="C27" s="530">
        <f t="shared" si="7"/>
        <v>0</v>
      </c>
      <c r="D27" s="531"/>
      <c r="E27" s="544" t="s">
        <v>105</v>
      </c>
      <c r="F27" s="530" t="s">
        <v>31</v>
      </c>
      <c r="G27" s="530" t="s">
        <v>31</v>
      </c>
      <c r="H27" s="533" t="s">
        <v>31</v>
      </c>
    </row>
    <row r="28" spans="1:8" ht="80.400000000000006" x14ac:dyDescent="0.25">
      <c r="A28" s="515" t="s">
        <v>750</v>
      </c>
      <c r="B28" s="516">
        <f>230600/1000000</f>
        <v>0.2306</v>
      </c>
      <c r="C28" s="516">
        <v>0</v>
      </c>
      <c r="D28" s="517">
        <f t="shared" si="2"/>
        <v>-0.2306</v>
      </c>
      <c r="E28" s="545" t="s">
        <v>751</v>
      </c>
      <c r="F28" s="516" t="s">
        <v>31</v>
      </c>
      <c r="G28" s="516" t="s">
        <v>31</v>
      </c>
      <c r="H28" s="519" t="s">
        <v>31</v>
      </c>
    </row>
    <row r="29" spans="1:8" ht="24" x14ac:dyDescent="0.25">
      <c r="A29" s="536" t="s">
        <v>753</v>
      </c>
      <c r="B29" s="537">
        <f>+B30+B31</f>
        <v>6.8902499600000002</v>
      </c>
      <c r="C29" s="537">
        <f>+C30+C31</f>
        <v>0</v>
      </c>
      <c r="D29" s="537">
        <f>+D30+D31</f>
        <v>-4.4152499599999997</v>
      </c>
      <c r="E29" s="542" t="s">
        <v>105</v>
      </c>
      <c r="F29" s="537">
        <f>+F30+F31</f>
        <v>3</v>
      </c>
      <c r="G29" s="537">
        <f>+G30+G31</f>
        <v>0</v>
      </c>
      <c r="H29" s="540">
        <f>G29/F29*100</f>
        <v>0</v>
      </c>
    </row>
    <row r="30" spans="1:8" ht="23.4" x14ac:dyDescent="0.25">
      <c r="A30" s="546" t="s">
        <v>689</v>
      </c>
      <c r="B30" s="516">
        <v>2.4750000000000001</v>
      </c>
      <c r="C30" s="516">
        <v>0</v>
      </c>
      <c r="D30" s="531"/>
      <c r="E30" s="545" t="s">
        <v>2457</v>
      </c>
      <c r="F30" s="530">
        <v>2.5</v>
      </c>
      <c r="G30" s="530">
        <v>0</v>
      </c>
      <c r="H30" s="533">
        <v>0</v>
      </c>
    </row>
    <row r="31" spans="1:8" ht="57.6" x14ac:dyDescent="0.25">
      <c r="A31" s="515" t="s">
        <v>754</v>
      </c>
      <c r="B31" s="516">
        <f>4415249.96/1000000</f>
        <v>4.4152499599999997</v>
      </c>
      <c r="C31" s="516">
        <v>0</v>
      </c>
      <c r="D31" s="531">
        <f t="shared" si="2"/>
        <v>-4.4152499599999997</v>
      </c>
      <c r="E31" s="545" t="s">
        <v>755</v>
      </c>
      <c r="F31" s="530">
        <v>0.5</v>
      </c>
      <c r="G31" s="530">
        <v>0</v>
      </c>
      <c r="H31" s="533">
        <v>0</v>
      </c>
    </row>
    <row r="32" spans="1:8" ht="24" x14ac:dyDescent="0.25">
      <c r="A32" s="536" t="s">
        <v>756</v>
      </c>
      <c r="B32" s="537">
        <f t="shared" ref="B32:C34" si="8">B33</f>
        <v>2.611942</v>
      </c>
      <c r="C32" s="537">
        <f t="shared" si="8"/>
        <v>0</v>
      </c>
      <c r="D32" s="538"/>
      <c r="E32" s="539" t="s">
        <v>105</v>
      </c>
      <c r="F32" s="537" t="s">
        <v>31</v>
      </c>
      <c r="G32" s="537" t="s">
        <v>31</v>
      </c>
      <c r="H32" s="540" t="s">
        <v>31</v>
      </c>
    </row>
    <row r="33" spans="1:8" ht="48" x14ac:dyDescent="0.25">
      <c r="A33" s="522" t="s">
        <v>757</v>
      </c>
      <c r="B33" s="523">
        <f t="shared" si="8"/>
        <v>2.611942</v>
      </c>
      <c r="C33" s="523">
        <f t="shared" si="8"/>
        <v>0</v>
      </c>
      <c r="D33" s="524"/>
      <c r="E33" s="525" t="s">
        <v>105</v>
      </c>
      <c r="F33" s="523" t="s">
        <v>31</v>
      </c>
      <c r="G33" s="523" t="s">
        <v>31</v>
      </c>
      <c r="H33" s="526" t="s">
        <v>31</v>
      </c>
    </row>
    <row r="34" spans="1:8" ht="36" x14ac:dyDescent="0.25">
      <c r="A34" s="529" t="s">
        <v>758</v>
      </c>
      <c r="B34" s="530">
        <f t="shared" si="8"/>
        <v>2.611942</v>
      </c>
      <c r="C34" s="530">
        <f t="shared" si="8"/>
        <v>0</v>
      </c>
      <c r="D34" s="531"/>
      <c r="E34" s="532" t="s">
        <v>105</v>
      </c>
      <c r="F34" s="530" t="s">
        <v>31</v>
      </c>
      <c r="G34" s="530" t="s">
        <v>31</v>
      </c>
      <c r="H34" s="533" t="s">
        <v>31</v>
      </c>
    </row>
    <row r="35" spans="1:8" ht="34.799999999999997" x14ac:dyDescent="0.25">
      <c r="A35" s="515" t="s">
        <v>759</v>
      </c>
      <c r="B35" s="516">
        <f>2611942/1000000</f>
        <v>2.611942</v>
      </c>
      <c r="C35" s="516">
        <v>0</v>
      </c>
      <c r="D35" s="517">
        <f t="shared" si="2"/>
        <v>-2.611942</v>
      </c>
      <c r="E35" s="518" t="s">
        <v>760</v>
      </c>
      <c r="F35" s="516" t="s">
        <v>31</v>
      </c>
      <c r="G35" s="516" t="s">
        <v>31</v>
      </c>
      <c r="H35" s="519" t="s">
        <v>31</v>
      </c>
    </row>
    <row r="36" spans="1:8" ht="24" x14ac:dyDescent="0.25">
      <c r="A36" s="536" t="s">
        <v>762</v>
      </c>
      <c r="B36" s="537">
        <f>B37</f>
        <v>0.26389999999999997</v>
      </c>
      <c r="C36" s="537">
        <f>C37</f>
        <v>0</v>
      </c>
      <c r="D36" s="538"/>
      <c r="E36" s="539" t="s">
        <v>105</v>
      </c>
      <c r="F36" s="537">
        <f>F37</f>
        <v>0.26</v>
      </c>
      <c r="G36" s="537">
        <f t="shared" ref="G36:H37" si="9">G37</f>
        <v>0</v>
      </c>
      <c r="H36" s="540">
        <f t="shared" si="9"/>
        <v>0</v>
      </c>
    </row>
    <row r="37" spans="1:8" ht="36" x14ac:dyDescent="0.25">
      <c r="A37" s="522" t="s">
        <v>763</v>
      </c>
      <c r="B37" s="523">
        <f>B38</f>
        <v>0.26389999999999997</v>
      </c>
      <c r="C37" s="523">
        <f>C38</f>
        <v>0</v>
      </c>
      <c r="D37" s="524"/>
      <c r="E37" s="525" t="s">
        <v>105</v>
      </c>
      <c r="F37" s="523">
        <f>F38</f>
        <v>0.26</v>
      </c>
      <c r="G37" s="523">
        <f t="shared" si="9"/>
        <v>0</v>
      </c>
      <c r="H37" s="526">
        <f t="shared" si="9"/>
        <v>0</v>
      </c>
    </row>
    <row r="38" spans="1:8" ht="43.5" customHeight="1" x14ac:dyDescent="0.25">
      <c r="A38" s="529" t="s">
        <v>764</v>
      </c>
      <c r="B38" s="530">
        <f>B39+B40+B41</f>
        <v>0.26389999999999997</v>
      </c>
      <c r="C38" s="530">
        <f>C39</f>
        <v>0</v>
      </c>
      <c r="D38" s="531"/>
      <c r="E38" s="532" t="s">
        <v>105</v>
      </c>
      <c r="F38" s="530">
        <f>F39+F40+F41</f>
        <v>0.26</v>
      </c>
      <c r="G38" s="530">
        <f>G39</f>
        <v>0</v>
      </c>
      <c r="H38" s="533">
        <f t="shared" ref="H38" si="10">H39+H40+H41</f>
        <v>0</v>
      </c>
    </row>
    <row r="39" spans="1:8" ht="183" x14ac:dyDescent="0.25">
      <c r="A39" s="515" t="s">
        <v>766</v>
      </c>
      <c r="B39" s="516">
        <f>207500/1000000</f>
        <v>0.20749999999999999</v>
      </c>
      <c r="C39" s="516">
        <v>0</v>
      </c>
      <c r="D39" s="517">
        <f t="shared" si="2"/>
        <v>-0.20749999999999999</v>
      </c>
      <c r="E39" s="518" t="s">
        <v>767</v>
      </c>
      <c r="F39" s="516">
        <v>0.2</v>
      </c>
      <c r="G39" s="516">
        <v>0</v>
      </c>
      <c r="H39" s="519">
        <v>0</v>
      </c>
    </row>
    <row r="40" spans="1:8" s="514" customFormat="1" ht="57.6" x14ac:dyDescent="0.25">
      <c r="A40" s="547" t="s">
        <v>768</v>
      </c>
      <c r="B40" s="548">
        <f>25000/1000000</f>
        <v>2.5000000000000001E-2</v>
      </c>
      <c r="C40" s="549">
        <v>0</v>
      </c>
      <c r="D40" s="550">
        <f t="shared" si="2"/>
        <v>-2.5000000000000001E-2</v>
      </c>
      <c r="E40" s="551" t="s">
        <v>767</v>
      </c>
      <c r="F40" s="548">
        <v>0.03</v>
      </c>
      <c r="G40" s="549">
        <v>0</v>
      </c>
      <c r="H40" s="552">
        <v>0</v>
      </c>
    </row>
    <row r="41" spans="1:8" s="514" customFormat="1" ht="23.4" x14ac:dyDescent="0.25">
      <c r="A41" s="553" t="s">
        <v>770</v>
      </c>
      <c r="B41" s="548">
        <f>31400/1000000</f>
        <v>3.1399999999999997E-2</v>
      </c>
      <c r="C41" s="549">
        <v>0</v>
      </c>
      <c r="D41" s="550">
        <f t="shared" si="2"/>
        <v>-3.1399999999999997E-2</v>
      </c>
      <c r="E41" s="551" t="s">
        <v>771</v>
      </c>
      <c r="F41" s="548">
        <v>0.03</v>
      </c>
      <c r="G41" s="549">
        <v>0</v>
      </c>
      <c r="H41" s="552">
        <v>0</v>
      </c>
    </row>
    <row r="42" spans="1:8" ht="36" x14ac:dyDescent="0.25">
      <c r="A42" s="536" t="s">
        <v>773</v>
      </c>
      <c r="B42" s="537">
        <f t="shared" ref="B42:C44" si="11">B43</f>
        <v>2.508</v>
      </c>
      <c r="C42" s="537">
        <f t="shared" si="11"/>
        <v>0</v>
      </c>
      <c r="D42" s="538"/>
      <c r="E42" s="539" t="s">
        <v>105</v>
      </c>
      <c r="F42" s="537">
        <f>F43</f>
        <v>2.4</v>
      </c>
      <c r="G42" s="537">
        <f t="shared" ref="G42:H44" si="12">G43</f>
        <v>0</v>
      </c>
      <c r="H42" s="540">
        <f t="shared" si="12"/>
        <v>0</v>
      </c>
    </row>
    <row r="43" spans="1:8" ht="72" x14ac:dyDescent="0.25">
      <c r="A43" s="522" t="s">
        <v>774</v>
      </c>
      <c r="B43" s="523">
        <f t="shared" si="11"/>
        <v>2.508</v>
      </c>
      <c r="C43" s="523">
        <f t="shared" si="11"/>
        <v>0</v>
      </c>
      <c r="D43" s="524"/>
      <c r="E43" s="525" t="s">
        <v>105</v>
      </c>
      <c r="F43" s="523">
        <f>F44</f>
        <v>2.4</v>
      </c>
      <c r="G43" s="523">
        <f t="shared" si="12"/>
        <v>0</v>
      </c>
      <c r="H43" s="526">
        <f t="shared" si="12"/>
        <v>0</v>
      </c>
    </row>
    <row r="44" spans="1:8" ht="72" x14ac:dyDescent="0.25">
      <c r="A44" s="529" t="s">
        <v>775</v>
      </c>
      <c r="B44" s="530">
        <f t="shared" si="11"/>
        <v>2.508</v>
      </c>
      <c r="C44" s="530">
        <f t="shared" si="11"/>
        <v>0</v>
      </c>
      <c r="D44" s="531"/>
      <c r="E44" s="532" t="s">
        <v>105</v>
      </c>
      <c r="F44" s="530">
        <f>F45</f>
        <v>2.4</v>
      </c>
      <c r="G44" s="530">
        <f t="shared" si="12"/>
        <v>0</v>
      </c>
      <c r="H44" s="533">
        <f t="shared" si="12"/>
        <v>0</v>
      </c>
    </row>
    <row r="45" spans="1:8" ht="57.6" x14ac:dyDescent="0.25">
      <c r="A45" s="515" t="s">
        <v>777</v>
      </c>
      <c r="B45" s="516">
        <f>2508000/1000000</f>
        <v>2.508</v>
      </c>
      <c r="C45" s="516">
        <v>0</v>
      </c>
      <c r="D45" s="517">
        <f t="shared" si="2"/>
        <v>-2.508</v>
      </c>
      <c r="E45" s="518" t="s">
        <v>778</v>
      </c>
      <c r="F45" s="516">
        <v>2.4</v>
      </c>
      <c r="G45" s="516">
        <v>0</v>
      </c>
      <c r="H45" s="519">
        <v>0</v>
      </c>
    </row>
    <row r="46" spans="1:8" ht="13.8" thickBot="1" x14ac:dyDescent="0.3">
      <c r="A46" s="554" t="s">
        <v>318</v>
      </c>
      <c r="B46" s="555">
        <f>B7+B19+B25+B29+B32+B36+B42</f>
        <v>1015.1283088599999</v>
      </c>
      <c r="C46" s="555">
        <f>C7+C19+C25+C29+C32+C36+C42</f>
        <v>0</v>
      </c>
      <c r="D46" s="556" t="e">
        <f>D7+D19+D25+D29+#REF!+D32+D36+D42</f>
        <v>#REF!</v>
      </c>
      <c r="E46" s="556"/>
      <c r="F46" s="555">
        <f>F7+F19+F29+F36+F42</f>
        <v>11.16</v>
      </c>
      <c r="G46" s="555">
        <f>G7+G19+G29+G36+G42</f>
        <v>9.0999999999999998E-2</v>
      </c>
      <c r="H46" s="557">
        <f>G46/F46*100</f>
        <v>0.81541218637992818</v>
      </c>
    </row>
    <row r="47" spans="1:8" ht="13.8" thickTop="1" x14ac:dyDescent="0.25"/>
    <row r="50" spans="1:1" x14ac:dyDescent="0.25">
      <c r="A50" s="558"/>
    </row>
  </sheetData>
  <mergeCells count="6">
    <mergeCell ref="A3:H3"/>
    <mergeCell ref="A5:A6"/>
    <mergeCell ref="B5:B6"/>
    <mergeCell ref="C5:D6"/>
    <mergeCell ref="E5:E6"/>
    <mergeCell ref="F5:H5"/>
  </mergeCells>
  <pageMargins left="0.70866141732283472" right="0.39370078740157483" top="0.74803149606299213" bottom="0.74803149606299213" header="0.31496062992125984" footer="0.31496062992125984"/>
  <pageSetup paperSize="9" scale="8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27</vt:i4>
      </vt:variant>
    </vt:vector>
  </HeadingPairs>
  <TitlesOfParts>
    <vt:vector size="49" baseType="lpstr">
      <vt:lpstr>1_Конс.</vt:lpstr>
      <vt:lpstr>2_Конс_20 к 19</vt:lpstr>
      <vt:lpstr>3_Бюджеты МО</vt:lpstr>
      <vt:lpstr>4_Доходы МО</vt:lpstr>
      <vt:lpstr>5_Межбюд.</vt:lpstr>
      <vt:lpstr>6_Дебитор_МО</vt:lpstr>
      <vt:lpstr>7_Кредит_МО</vt:lpstr>
      <vt:lpstr>8_Менее 90 %</vt:lpstr>
      <vt:lpstr>9_Исполнение 0%</vt:lpstr>
      <vt:lpstr>10_Изменение расходов</vt:lpstr>
      <vt:lpstr>11_Госорганы</vt:lpstr>
      <vt:lpstr>12_Программы АО</vt:lpstr>
      <vt:lpstr>13_Невыполнение ГП</vt:lpstr>
      <vt:lpstr>14_НП РФ</vt:lpstr>
      <vt:lpstr>15_ФХД БУ И АУ_конс.</vt:lpstr>
      <vt:lpstr>16_ФХД_БУ И АУ_обл</vt:lpstr>
      <vt:lpstr>17_Долги_БУ и АУ_конс.</vt:lpstr>
      <vt:lpstr>18_Долги_БУ И АУ_обл</vt:lpstr>
      <vt:lpstr>Черн_кон.рас.</vt:lpstr>
      <vt:lpstr>Черн.</vt:lpstr>
      <vt:lpstr>Кредит.Дебит</vt:lpstr>
      <vt:lpstr>Соотн_Деб.и Кред</vt:lpstr>
      <vt:lpstr>'10_Изменение расходов'!Заголовки_для_печати</vt:lpstr>
      <vt:lpstr>'11_Госорганы'!Заголовки_для_печати</vt:lpstr>
      <vt:lpstr>'12_Программы АО'!Заголовки_для_печати</vt:lpstr>
      <vt:lpstr>'13_Невыполнение ГП'!Заголовки_для_печати</vt:lpstr>
      <vt:lpstr>'14_НП РФ'!Заголовки_для_печати</vt:lpstr>
      <vt:lpstr>'15_ФХД БУ И АУ_конс.'!Заголовки_для_печати</vt:lpstr>
      <vt:lpstr>'16_ФХД_БУ И АУ_обл'!Заголовки_для_печати</vt:lpstr>
      <vt:lpstr>'17_Долги_БУ и АУ_конс.'!Заголовки_для_печати</vt:lpstr>
      <vt:lpstr>'18_Долги_БУ И АУ_обл'!Заголовки_для_печати</vt:lpstr>
      <vt:lpstr>'2_Конс_20 к 19'!Заголовки_для_печати</vt:lpstr>
      <vt:lpstr>'8_Менее 90 %'!Заголовки_для_печати</vt:lpstr>
      <vt:lpstr>'9_Исполнение 0%'!Заголовки_для_печати</vt:lpstr>
      <vt:lpstr>'1_Конс.'!Область_печати</vt:lpstr>
      <vt:lpstr>'10_Изменение расходов'!Область_печати</vt:lpstr>
      <vt:lpstr>'12_Программы АО'!Область_печати</vt:lpstr>
      <vt:lpstr>'13_Невыполнение ГП'!Область_печати</vt:lpstr>
      <vt:lpstr>'15_ФХД БУ И АУ_конс.'!Область_печати</vt:lpstr>
      <vt:lpstr>'16_ФХД_БУ И АУ_обл'!Область_печати</vt:lpstr>
      <vt:lpstr>'17_Долги_БУ и АУ_конс.'!Область_печати</vt:lpstr>
      <vt:lpstr>'18_Долги_БУ И АУ_обл'!Область_печати</vt:lpstr>
      <vt:lpstr>'2_Конс_20 к 19'!Область_печати</vt:lpstr>
      <vt:lpstr>'3_Бюджеты МО'!Область_печати</vt:lpstr>
      <vt:lpstr>'4_Доходы МО'!Область_печати</vt:lpstr>
      <vt:lpstr>'5_Межбюд.'!Область_печати</vt:lpstr>
      <vt:lpstr>'6_Дебитор_МО'!Область_печати</vt:lpstr>
      <vt:lpstr>'7_Кредит_МО'!Область_печати</vt:lpstr>
      <vt:lpstr>'8_Менее 90 %'!Область_печати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 Кичёв</dc:creator>
  <cp:lastModifiedBy>Калинин С.Ф.</cp:lastModifiedBy>
  <cp:lastPrinted>2021-05-25T04:24:48Z</cp:lastPrinted>
  <dcterms:created xsi:type="dcterms:W3CDTF">2017-08-14T11:43:51Z</dcterms:created>
  <dcterms:modified xsi:type="dcterms:W3CDTF">2021-05-25T04:26:02Z</dcterms:modified>
</cp:coreProperties>
</file>